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c3752da62c106747/Stalinis kompiuteris/Patikslintas biudžetas/"/>
    </mc:Choice>
  </mc:AlternateContent>
  <xr:revisionPtr revIDLastSave="0" documentId="8_{1E0D9635-1E1B-4D49-9E36-C38B95B13E41}" xr6:coauthVersionLast="47" xr6:coauthVersionMax="47" xr10:uidLastSave="{00000000-0000-0000-0000-000000000000}"/>
  <bookViews>
    <workbookView xWindow="-108" yWindow="-108" windowWidth="23256" windowHeight="13896" xr2:uid="{65A91F6C-CFD0-464C-A180-505B22725304}"/>
  </bookViews>
  <sheets>
    <sheet name="Lapas1" sheetId="2" r:id="rId1"/>
    <sheet name="Lapas2" sheetId="4" r:id="rId2"/>
  </sheets>
  <definedNames>
    <definedName name="_xlnm.Print_Titles" localSheetId="0">Lapas1!$5:$7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9" i="2" l="1"/>
  <c r="J129" i="2"/>
  <c r="I129" i="2"/>
  <c r="H129" i="2"/>
  <c r="G129" i="2"/>
  <c r="F129" i="2"/>
  <c r="E129" i="2"/>
  <c r="L129" i="2" s="1"/>
  <c r="L131" i="2"/>
  <c r="L130" i="2"/>
  <c r="F221" i="2"/>
  <c r="E221" i="2"/>
  <c r="E75" i="2"/>
  <c r="H33" i="2"/>
  <c r="H17" i="2"/>
  <c r="H16" i="2"/>
  <c r="H15" i="2"/>
  <c r="H14" i="2"/>
  <c r="H13" i="2"/>
  <c r="H12" i="2"/>
  <c r="H11" i="2"/>
  <c r="H10" i="2"/>
  <c r="L175" i="2"/>
  <c r="L99" i="2" l="1"/>
  <c r="D171" i="2" l="1"/>
  <c r="E171" i="2"/>
  <c r="F171" i="2"/>
  <c r="G171" i="2"/>
  <c r="H171" i="2"/>
  <c r="I171" i="2"/>
  <c r="J171" i="2"/>
  <c r="K171" i="2"/>
  <c r="C171" i="2"/>
  <c r="L176" i="2"/>
  <c r="C221" i="2" l="1"/>
  <c r="C115" i="2"/>
  <c r="D102" i="2" l="1"/>
  <c r="C102" i="2"/>
  <c r="D101" i="2"/>
  <c r="C101" i="2"/>
  <c r="C99" i="2"/>
  <c r="D97" i="2"/>
  <c r="D98" i="2"/>
  <c r="C98" i="2"/>
  <c r="C97" i="2"/>
  <c r="C96" i="2"/>
  <c r="C87" i="2"/>
  <c r="C34" i="2"/>
  <c r="C33" i="2"/>
  <c r="C19" i="2"/>
  <c r="C18" i="2"/>
  <c r="C17" i="2"/>
  <c r="C16" i="2"/>
  <c r="C15" i="2"/>
  <c r="C14" i="2"/>
  <c r="C13" i="2"/>
  <c r="C12" i="2"/>
  <c r="C11" i="2"/>
  <c r="J58" i="2"/>
  <c r="J91" i="2"/>
  <c r="J29" i="2"/>
  <c r="E241" i="2" l="1"/>
  <c r="H221" i="2" l="1"/>
  <c r="E57" i="2" l="1"/>
  <c r="E73" i="2"/>
  <c r="H36" i="2"/>
  <c r="E65" i="2" l="1"/>
  <c r="E62" i="2"/>
  <c r="D100" i="2" l="1"/>
  <c r="D16" i="2"/>
  <c r="D34" i="2"/>
  <c r="F85" i="2" l="1"/>
  <c r="G85" i="2"/>
  <c r="H85" i="2"/>
  <c r="I85" i="2"/>
  <c r="J85" i="2"/>
  <c r="K85" i="2"/>
  <c r="C85" i="2"/>
  <c r="D85" i="2"/>
  <c r="E85" i="2"/>
  <c r="L94" i="2"/>
  <c r="I73" i="2" l="1"/>
  <c r="E237" i="2" l="1"/>
  <c r="E158" i="2" l="1"/>
  <c r="E155" i="2" l="1"/>
  <c r="E118" i="2"/>
  <c r="L121" i="2"/>
  <c r="E212" i="2"/>
  <c r="L112" i="2"/>
  <c r="D240" i="2"/>
  <c r="D238" i="2" s="1"/>
  <c r="C240" i="2"/>
  <c r="C238" i="2" s="1"/>
  <c r="D219" i="2"/>
  <c r="D217" i="2" s="1"/>
  <c r="C219" i="2"/>
  <c r="C217" i="2" s="1"/>
  <c r="D211" i="2"/>
  <c r="C211" i="2"/>
  <c r="D208" i="2"/>
  <c r="C208" i="2"/>
  <c r="D205" i="2"/>
  <c r="C205" i="2"/>
  <c r="D36" i="2"/>
  <c r="C36" i="2"/>
  <c r="D71" i="2"/>
  <c r="D70" i="2" s="1"/>
  <c r="C71" i="2"/>
  <c r="C70" i="2" s="1"/>
  <c r="D74" i="2"/>
  <c r="C74" i="2"/>
  <c r="D83" i="2"/>
  <c r="C83" i="2"/>
  <c r="D103" i="2"/>
  <c r="D95" i="2" s="1"/>
  <c r="C103" i="2"/>
  <c r="C95" i="2" s="1"/>
  <c r="D114" i="2"/>
  <c r="C114" i="2"/>
  <c r="D118" i="2"/>
  <c r="C118" i="2"/>
  <c r="D126" i="2"/>
  <c r="D124" i="2" s="1"/>
  <c r="C126" i="2"/>
  <c r="C124" i="2" s="1"/>
  <c r="D134" i="2"/>
  <c r="C134" i="2"/>
  <c r="D143" i="2"/>
  <c r="C143" i="2"/>
  <c r="D146" i="2"/>
  <c r="C146" i="2"/>
  <c r="D196" i="2"/>
  <c r="C196" i="2"/>
  <c r="D177" i="2"/>
  <c r="C177" i="2"/>
  <c r="D161" i="2"/>
  <c r="C161" i="2"/>
  <c r="D152" i="2"/>
  <c r="C152" i="2"/>
  <c r="I33" i="2"/>
  <c r="I34" i="2"/>
  <c r="D25" i="2"/>
  <c r="D21" i="2"/>
  <c r="C25" i="2"/>
  <c r="C21" i="2"/>
  <c r="I19" i="2"/>
  <c r="I18" i="2"/>
  <c r="I17" i="2"/>
  <c r="I16" i="2"/>
  <c r="I15" i="2"/>
  <c r="I14" i="2"/>
  <c r="I13" i="2"/>
  <c r="I12" i="2"/>
  <c r="I11" i="2"/>
  <c r="I10" i="2"/>
  <c r="D133" i="2" l="1"/>
  <c r="D132" i="2" s="1"/>
  <c r="C133" i="2"/>
  <c r="C132" i="2" s="1"/>
  <c r="C113" i="2"/>
  <c r="C35" i="2"/>
  <c r="D113" i="2"/>
  <c r="D35" i="2"/>
  <c r="D142" i="2"/>
  <c r="D141" i="2" s="1"/>
  <c r="C142" i="2"/>
  <c r="C141" i="2" s="1"/>
  <c r="C204" i="2"/>
  <c r="C203" i="2" s="1"/>
  <c r="D216" i="2"/>
  <c r="D215" i="2" s="1"/>
  <c r="C216" i="2"/>
  <c r="C215" i="2" s="1"/>
  <c r="D204" i="2"/>
  <c r="D203" i="2" s="1"/>
  <c r="C20" i="2"/>
  <c r="C9" i="2" s="1"/>
  <c r="D20" i="2"/>
  <c r="D9" i="2" s="1"/>
  <c r="D8" i="2" l="1"/>
  <c r="C140" i="2"/>
  <c r="C8" i="2"/>
  <c r="D140" i="2"/>
  <c r="J138" i="2"/>
  <c r="E126" i="2"/>
  <c r="E124" i="2" s="1"/>
  <c r="E103" i="2"/>
  <c r="E95" i="2" s="1"/>
  <c r="D245" i="2" l="1"/>
  <c r="D247" i="2" s="1"/>
  <c r="C245" i="2"/>
  <c r="C247" i="2" s="1"/>
  <c r="K138" i="2"/>
  <c r="I138" i="2"/>
  <c r="H138" i="2"/>
  <c r="G138" i="2"/>
  <c r="F138" i="2"/>
  <c r="L139" i="2"/>
  <c r="L138" i="2" l="1"/>
  <c r="F21" i="2"/>
  <c r="G21" i="2"/>
  <c r="H21" i="2"/>
  <c r="I21" i="2"/>
  <c r="K21" i="2"/>
  <c r="E21" i="2"/>
  <c r="L23" i="2"/>
  <c r="L24" i="2"/>
  <c r="J21" i="2" l="1"/>
  <c r="L21" i="2" s="1"/>
  <c r="E240" i="2" l="1"/>
  <c r="L93" i="2" l="1"/>
  <c r="L92" i="2"/>
  <c r="L101" i="2" l="1"/>
  <c r="L16" i="2"/>
  <c r="H25" i="2"/>
  <c r="L52" i="2"/>
  <c r="F219" i="2"/>
  <c r="F217" i="2" s="1"/>
  <c r="L84" i="2"/>
  <c r="L13" i="2"/>
  <c r="L12" i="2"/>
  <c r="L11" i="2"/>
  <c r="L69" i="2"/>
  <c r="L82" i="2"/>
  <c r="K255" i="2"/>
  <c r="J255" i="2"/>
  <c r="I255" i="2"/>
  <c r="H255" i="2"/>
  <c r="G255" i="2"/>
  <c r="F255" i="2"/>
  <c r="E255" i="2"/>
  <c r="L246" i="2"/>
  <c r="L244" i="2"/>
  <c r="L243" i="2"/>
  <c r="L242" i="2"/>
  <c r="L241" i="2"/>
  <c r="K240" i="2"/>
  <c r="K238" i="2" s="1"/>
  <c r="J240" i="2"/>
  <c r="J238" i="2" s="1"/>
  <c r="I240" i="2"/>
  <c r="I238" i="2" s="1"/>
  <c r="H240" i="2"/>
  <c r="H238" i="2" s="1"/>
  <c r="G240" i="2"/>
  <c r="G238" i="2" s="1"/>
  <c r="F240" i="2"/>
  <c r="F238" i="2" s="1"/>
  <c r="L239" i="2"/>
  <c r="L237" i="2"/>
  <c r="L236" i="2"/>
  <c r="L235" i="2"/>
  <c r="L234" i="2"/>
  <c r="L232" i="2"/>
  <c r="L231" i="2"/>
  <c r="L230" i="2"/>
  <c r="L226" i="2"/>
  <c r="L225" i="2"/>
  <c r="L224" i="2"/>
  <c r="L223" i="2"/>
  <c r="L222" i="2"/>
  <c r="L220" i="2"/>
  <c r="K219" i="2"/>
  <c r="K217" i="2" s="1"/>
  <c r="J219" i="2"/>
  <c r="J217" i="2" s="1"/>
  <c r="H219" i="2"/>
  <c r="H217" i="2" s="1"/>
  <c r="G219" i="2"/>
  <c r="G217" i="2" s="1"/>
  <c r="L218" i="2"/>
  <c r="L214" i="2"/>
  <c r="L213" i="2"/>
  <c r="L212" i="2"/>
  <c r="K211" i="2"/>
  <c r="J211" i="2"/>
  <c r="I211" i="2"/>
  <c r="H211" i="2"/>
  <c r="G211" i="2"/>
  <c r="F211" i="2"/>
  <c r="E211" i="2"/>
  <c r="L210" i="2"/>
  <c r="L209" i="2"/>
  <c r="K208" i="2"/>
  <c r="J208" i="2"/>
  <c r="I208" i="2"/>
  <c r="H208" i="2"/>
  <c r="G208" i="2"/>
  <c r="F208" i="2"/>
  <c r="E208" i="2"/>
  <c r="L207" i="2"/>
  <c r="L206" i="2"/>
  <c r="K205" i="2"/>
  <c r="J205" i="2"/>
  <c r="I205" i="2"/>
  <c r="H205" i="2"/>
  <c r="G205" i="2"/>
  <c r="F205" i="2"/>
  <c r="E205" i="2"/>
  <c r="L202" i="2"/>
  <c r="L201" i="2"/>
  <c r="L200" i="2"/>
  <c r="L199" i="2"/>
  <c r="L198" i="2"/>
  <c r="L197" i="2"/>
  <c r="K196" i="2"/>
  <c r="J196" i="2"/>
  <c r="I196" i="2"/>
  <c r="H196" i="2"/>
  <c r="G196" i="2"/>
  <c r="F196" i="2"/>
  <c r="L195" i="2"/>
  <c r="L194" i="2"/>
  <c r="L193" i="2"/>
  <c r="L192" i="2"/>
  <c r="L191" i="2"/>
  <c r="L190" i="2"/>
  <c r="L189" i="2"/>
  <c r="L188" i="2"/>
  <c r="L187" i="2"/>
  <c r="L186" i="2"/>
  <c r="L185" i="2"/>
  <c r="L184" i="2"/>
  <c r="L183" i="2"/>
  <c r="L182" i="2"/>
  <c r="L181" i="2"/>
  <c r="L180" i="2"/>
  <c r="L179" i="2"/>
  <c r="L178" i="2"/>
  <c r="K177" i="2"/>
  <c r="J177" i="2"/>
  <c r="I177" i="2"/>
  <c r="H177" i="2"/>
  <c r="G177" i="2"/>
  <c r="F177" i="2"/>
  <c r="E177" i="2"/>
  <c r="L173" i="2"/>
  <c r="L172" i="2"/>
  <c r="L170" i="2"/>
  <c r="L169" i="2"/>
  <c r="L168" i="2"/>
  <c r="L167" i="2"/>
  <c r="L166" i="2"/>
  <c r="L165" i="2"/>
  <c r="L164" i="2"/>
  <c r="L163" i="2"/>
  <c r="L162" i="2"/>
  <c r="K161" i="2"/>
  <c r="J161" i="2"/>
  <c r="I161" i="2"/>
  <c r="H161" i="2"/>
  <c r="G161" i="2"/>
  <c r="F161" i="2"/>
  <c r="L160" i="2"/>
  <c r="L159" i="2"/>
  <c r="L158" i="2"/>
  <c r="L157" i="2"/>
  <c r="L156" i="2"/>
  <c r="L155" i="2"/>
  <c r="L154" i="2"/>
  <c r="L153" i="2"/>
  <c r="K152" i="2"/>
  <c r="J152" i="2"/>
  <c r="I152" i="2"/>
  <c r="H152" i="2"/>
  <c r="G152" i="2"/>
  <c r="F152" i="2"/>
  <c r="L151" i="2"/>
  <c r="L150" i="2"/>
  <c r="L149" i="2"/>
  <c r="L148" i="2"/>
  <c r="L147" i="2"/>
  <c r="K146" i="2"/>
  <c r="J146" i="2"/>
  <c r="I146" i="2"/>
  <c r="G146" i="2"/>
  <c r="F146" i="2"/>
  <c r="E146" i="2"/>
  <c r="L145" i="2"/>
  <c r="L144" i="2"/>
  <c r="K143" i="2"/>
  <c r="J143" i="2"/>
  <c r="I143" i="2"/>
  <c r="H143" i="2"/>
  <c r="G143" i="2"/>
  <c r="F143" i="2"/>
  <c r="E143" i="2"/>
  <c r="L137" i="2"/>
  <c r="L136" i="2"/>
  <c r="L135" i="2"/>
  <c r="K134" i="2"/>
  <c r="K133" i="2" s="1"/>
  <c r="K132" i="2" s="1"/>
  <c r="J134" i="2"/>
  <c r="J133" i="2" s="1"/>
  <c r="J132" i="2" s="1"/>
  <c r="I134" i="2"/>
  <c r="I133" i="2" s="1"/>
  <c r="I132" i="2" s="1"/>
  <c r="H134" i="2"/>
  <c r="G134" i="2"/>
  <c r="G133" i="2" s="1"/>
  <c r="G132" i="2" s="1"/>
  <c r="F134" i="2"/>
  <c r="F133" i="2" s="1"/>
  <c r="F132" i="2" s="1"/>
  <c r="E134" i="2"/>
  <c r="L128" i="2"/>
  <c r="L127" i="2"/>
  <c r="K126" i="2"/>
  <c r="K124" i="2" s="1"/>
  <c r="J126" i="2"/>
  <c r="J124" i="2" s="1"/>
  <c r="I126" i="2"/>
  <c r="I124" i="2" s="1"/>
  <c r="H126" i="2"/>
  <c r="H124" i="2" s="1"/>
  <c r="G126" i="2"/>
  <c r="G124" i="2" s="1"/>
  <c r="F126" i="2"/>
  <c r="F124" i="2" s="1"/>
  <c r="L125" i="2"/>
  <c r="L123" i="2"/>
  <c r="L122" i="2"/>
  <c r="L120" i="2"/>
  <c r="L119" i="2"/>
  <c r="K118" i="2"/>
  <c r="J118" i="2"/>
  <c r="I118" i="2"/>
  <c r="H118" i="2"/>
  <c r="G118" i="2"/>
  <c r="F118" i="2"/>
  <c r="L117" i="2"/>
  <c r="L116" i="2"/>
  <c r="L115" i="2"/>
  <c r="K114" i="2"/>
  <c r="J114" i="2"/>
  <c r="I114" i="2"/>
  <c r="H114" i="2"/>
  <c r="G114" i="2"/>
  <c r="F114" i="2"/>
  <c r="E114" i="2"/>
  <c r="L111" i="2"/>
  <c r="L110" i="2"/>
  <c r="L109" i="2"/>
  <c r="L108" i="2"/>
  <c r="L107" i="2"/>
  <c r="L106" i="2"/>
  <c r="L105" i="2"/>
  <c r="L104" i="2"/>
  <c r="K103" i="2"/>
  <c r="K95" i="2" s="1"/>
  <c r="J103" i="2"/>
  <c r="J95" i="2" s="1"/>
  <c r="I103" i="2"/>
  <c r="I95" i="2" s="1"/>
  <c r="H103" i="2"/>
  <c r="H95" i="2" s="1"/>
  <c r="G103" i="2"/>
  <c r="G95" i="2" s="1"/>
  <c r="F103" i="2"/>
  <c r="F95" i="2" s="1"/>
  <c r="L100" i="2"/>
  <c r="L98" i="2"/>
  <c r="L97" i="2"/>
  <c r="L96" i="2"/>
  <c r="L91" i="2"/>
  <c r="L90" i="2"/>
  <c r="L89" i="2"/>
  <c r="K83" i="2"/>
  <c r="I83" i="2"/>
  <c r="H83" i="2"/>
  <c r="G83" i="2"/>
  <c r="F83" i="2"/>
  <c r="L81" i="2"/>
  <c r="L80" i="2"/>
  <c r="L79" i="2"/>
  <c r="L78" i="2"/>
  <c r="E74" i="2"/>
  <c r="L76" i="2"/>
  <c r="L75" i="2"/>
  <c r="K74" i="2"/>
  <c r="J74" i="2"/>
  <c r="I74" i="2"/>
  <c r="H74" i="2"/>
  <c r="G74" i="2"/>
  <c r="L72" i="2"/>
  <c r="K71" i="2"/>
  <c r="K70" i="2" s="1"/>
  <c r="J71" i="2"/>
  <c r="J70" i="2" s="1"/>
  <c r="I71" i="2"/>
  <c r="I70" i="2" s="1"/>
  <c r="H71" i="2"/>
  <c r="H70" i="2" s="1"/>
  <c r="G71" i="2"/>
  <c r="G70" i="2" s="1"/>
  <c r="F71" i="2"/>
  <c r="F70" i="2" s="1"/>
  <c r="E71" i="2"/>
  <c r="E70" i="2" s="1"/>
  <c r="L68" i="2"/>
  <c r="L67" i="2"/>
  <c r="L66" i="2"/>
  <c r="L65" i="2"/>
  <c r="L64" i="2"/>
  <c r="L63" i="2"/>
  <c r="L62" i="2"/>
  <c r="L61" i="2"/>
  <c r="L60" i="2"/>
  <c r="L58" i="2"/>
  <c r="L57" i="2"/>
  <c r="L56" i="2"/>
  <c r="L55" i="2"/>
  <c r="L53" i="2"/>
  <c r="L50" i="2"/>
  <c r="L49" i="2"/>
  <c r="L48" i="2"/>
  <c r="L47" i="2"/>
  <c r="L46" i="2"/>
  <c r="L44" i="2"/>
  <c r="L43" i="2"/>
  <c r="L42" i="2"/>
  <c r="L41" i="2"/>
  <c r="L40" i="2"/>
  <c r="L39" i="2"/>
  <c r="F36" i="2"/>
  <c r="L37" i="2"/>
  <c r="K36" i="2"/>
  <c r="I36" i="2"/>
  <c r="G36" i="2"/>
  <c r="L34" i="2"/>
  <c r="L32" i="2"/>
  <c r="L30" i="2"/>
  <c r="L29" i="2"/>
  <c r="J25" i="2"/>
  <c r="L28" i="2"/>
  <c r="L27" i="2"/>
  <c r="L26" i="2"/>
  <c r="K25" i="2"/>
  <c r="K20" i="2" s="1"/>
  <c r="K9" i="2" s="1"/>
  <c r="I25" i="2"/>
  <c r="G25" i="2"/>
  <c r="G20" i="2" s="1"/>
  <c r="G9" i="2" s="1"/>
  <c r="F25" i="2"/>
  <c r="F20" i="2" s="1"/>
  <c r="F9" i="2" s="1"/>
  <c r="E25" i="2"/>
  <c r="L22" i="2"/>
  <c r="L19" i="2"/>
  <c r="L18" i="2"/>
  <c r="L17" i="2"/>
  <c r="L95" i="2" l="1"/>
  <c r="F113" i="2"/>
  <c r="G204" i="2"/>
  <c r="G203" i="2" s="1"/>
  <c r="G216" i="2"/>
  <c r="G215" i="2" s="1"/>
  <c r="G253" i="2" s="1"/>
  <c r="K216" i="2"/>
  <c r="K215" i="2" s="1"/>
  <c r="K253" i="2" s="1"/>
  <c r="L228" i="2"/>
  <c r="I219" i="2"/>
  <c r="I217" i="2" s="1"/>
  <c r="I216" i="2" s="1"/>
  <c r="I215" i="2" s="1"/>
  <c r="I253" i="2" s="1"/>
  <c r="E133" i="2"/>
  <c r="E132" i="2" s="1"/>
  <c r="J113" i="2"/>
  <c r="L86" i="2"/>
  <c r="L229" i="2"/>
  <c r="L88" i="2"/>
  <c r="J83" i="2"/>
  <c r="L31" i="2"/>
  <c r="G35" i="2"/>
  <c r="L51" i="2"/>
  <c r="G113" i="2"/>
  <c r="K113" i="2"/>
  <c r="L118" i="2"/>
  <c r="I113" i="2"/>
  <c r="F142" i="2"/>
  <c r="F141" i="2" s="1"/>
  <c r="L171" i="2"/>
  <c r="L221" i="2"/>
  <c r="K35" i="2"/>
  <c r="K204" i="2"/>
  <c r="K203" i="2" s="1"/>
  <c r="J204" i="2"/>
  <c r="J203" i="2" s="1"/>
  <c r="L14" i="2"/>
  <c r="L33" i="2"/>
  <c r="L59" i="2"/>
  <c r="J142" i="2"/>
  <c r="J141" i="2" s="1"/>
  <c r="E196" i="2"/>
  <c r="L196" i="2" s="1"/>
  <c r="L205" i="2"/>
  <c r="H204" i="2"/>
  <c r="H203" i="2" s="1"/>
  <c r="L126" i="2"/>
  <c r="F204" i="2"/>
  <c r="F203" i="2" s="1"/>
  <c r="J216" i="2"/>
  <c r="J215" i="2" s="1"/>
  <c r="J253" i="2" s="1"/>
  <c r="L233" i="2"/>
  <c r="H216" i="2"/>
  <c r="H215" i="2" s="1"/>
  <c r="H253" i="2" s="1"/>
  <c r="L71" i="2"/>
  <c r="L114" i="2"/>
  <c r="L174" i="2"/>
  <c r="L208" i="2"/>
  <c r="I204" i="2"/>
  <c r="I203" i="2" s="1"/>
  <c r="L240" i="2"/>
  <c r="K142" i="2"/>
  <c r="K141" i="2" s="1"/>
  <c r="L10" i="2"/>
  <c r="L15" i="2"/>
  <c r="H20" i="2"/>
  <c r="H9" i="2" s="1"/>
  <c r="J36" i="2"/>
  <c r="J35" i="2" s="1"/>
  <c r="L38" i="2"/>
  <c r="H35" i="2"/>
  <c r="F74" i="2"/>
  <c r="F35" i="2" s="1"/>
  <c r="F8" i="2" s="1"/>
  <c r="L87" i="2"/>
  <c r="L134" i="2"/>
  <c r="L143" i="2"/>
  <c r="H146" i="2"/>
  <c r="H142" i="2" s="1"/>
  <c r="H141" i="2" s="1"/>
  <c r="L146" i="2"/>
  <c r="E161" i="2"/>
  <c r="L161" i="2" s="1"/>
  <c r="L177" i="2"/>
  <c r="L211" i="2"/>
  <c r="L255" i="2"/>
  <c r="G142" i="2"/>
  <c r="G141" i="2" s="1"/>
  <c r="E219" i="2"/>
  <c r="E36" i="2"/>
  <c r="E35" i="2" s="1"/>
  <c r="L102" i="2"/>
  <c r="I20" i="2"/>
  <c r="I9" i="2" s="1"/>
  <c r="L54" i="2"/>
  <c r="L70" i="2"/>
  <c r="H113" i="2"/>
  <c r="H133" i="2"/>
  <c r="I142" i="2"/>
  <c r="I141" i="2" s="1"/>
  <c r="F216" i="2"/>
  <c r="F215" i="2" s="1"/>
  <c r="F253" i="2" s="1"/>
  <c r="J20" i="2"/>
  <c r="J9" i="2" s="1"/>
  <c r="E83" i="2"/>
  <c r="L25" i="2"/>
  <c r="L103" i="2"/>
  <c r="L73" i="2"/>
  <c r="L77" i="2"/>
  <c r="E152" i="2"/>
  <c r="L227" i="2"/>
  <c r="E20" i="2"/>
  <c r="I35" i="2"/>
  <c r="L124" i="2"/>
  <c r="E204" i="2"/>
  <c r="E142" i="2" l="1"/>
  <c r="E141" i="2" s="1"/>
  <c r="G140" i="2"/>
  <c r="G252" i="2" s="1"/>
  <c r="J140" i="2"/>
  <c r="J252" i="2" s="1"/>
  <c r="I140" i="2"/>
  <c r="I252" i="2" s="1"/>
  <c r="F140" i="2"/>
  <c r="F252" i="2" s="1"/>
  <c r="G8" i="2"/>
  <c r="E113" i="2"/>
  <c r="L113" i="2" s="1"/>
  <c r="L219" i="2"/>
  <c r="L74" i="2"/>
  <c r="K140" i="2"/>
  <c r="K252" i="2" s="1"/>
  <c r="L85" i="2"/>
  <c r="K8" i="2"/>
  <c r="K251" i="2" s="1"/>
  <c r="L83" i="2"/>
  <c r="E238" i="2"/>
  <c r="L238" i="2" s="1"/>
  <c r="H140" i="2"/>
  <c r="H252" i="2" s="1"/>
  <c r="I8" i="2"/>
  <c r="L36" i="2"/>
  <c r="E217" i="2"/>
  <c r="E216" i="2" s="1"/>
  <c r="F251" i="2"/>
  <c r="J8" i="2"/>
  <c r="J245" i="2" s="1"/>
  <c r="J247" i="2" s="1"/>
  <c r="L133" i="2"/>
  <c r="H132" i="2"/>
  <c r="L132" i="2" s="1"/>
  <c r="L35" i="2"/>
  <c r="E203" i="2"/>
  <c r="L203" i="2" s="1"/>
  <c r="L204" i="2"/>
  <c r="E9" i="2"/>
  <c r="L20" i="2"/>
  <c r="L152" i="2"/>
  <c r="L142" i="2" s="1"/>
  <c r="G245" i="2" l="1"/>
  <c r="G247" i="2" s="1"/>
  <c r="F245" i="2"/>
  <c r="F247" i="2" s="1"/>
  <c r="I245" i="2"/>
  <c r="I247" i="2" s="1"/>
  <c r="F254" i="2"/>
  <c r="F256" i="2" s="1"/>
  <c r="G251" i="2"/>
  <c r="G254" i="2" s="1"/>
  <c r="G256" i="2" s="1"/>
  <c r="L216" i="2"/>
  <c r="K254" i="2"/>
  <c r="K256" i="2" s="1"/>
  <c r="L217" i="2"/>
  <c r="K245" i="2"/>
  <c r="K247" i="2" s="1"/>
  <c r="I251" i="2"/>
  <c r="I254" i="2" s="1"/>
  <c r="I256" i="2" s="1"/>
  <c r="J251" i="2"/>
  <c r="J254" i="2" s="1"/>
  <c r="J256" i="2" s="1"/>
  <c r="H8" i="2"/>
  <c r="L9" i="2"/>
  <c r="E8" i="2"/>
  <c r="E140" i="2"/>
  <c r="L141" i="2"/>
  <c r="E215" i="2" l="1"/>
  <c r="E253" i="2" s="1"/>
  <c r="L253" i="2" s="1"/>
  <c r="H251" i="2"/>
  <c r="H254" i="2" s="1"/>
  <c r="H256" i="2" s="1"/>
  <c r="H245" i="2"/>
  <c r="H247" i="2" s="1"/>
  <c r="E251" i="2"/>
  <c r="L8" i="2"/>
  <c r="E252" i="2"/>
  <c r="L252" i="2" s="1"/>
  <c r="L140" i="2"/>
  <c r="L215" i="2" l="1"/>
  <c r="E245" i="2"/>
  <c r="L245" i="2" s="1"/>
  <c r="E254" i="2"/>
  <c r="L251" i="2"/>
  <c r="E247" i="2" l="1"/>
  <c r="E256" i="2"/>
  <c r="L256" i="2" s="1"/>
  <c r="L254" i="2"/>
  <c r="L24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Evelina Bietkiene</author>
    <author>Asta Narusiene</author>
  </authors>
  <commentList>
    <comment ref="D11" authorId="0" shapeId="0" xr:uid="{3B2A44EC-6251-40D4-A917-2A321099A4F9}">
      <text>
        <r>
          <rPr>
            <b/>
            <sz val="9"/>
            <color indexed="81"/>
            <rFont val="Tahoma"/>
            <charset val="1"/>
          </rPr>
          <t>Evelina Bietkiene:</t>
        </r>
        <r>
          <rPr>
            <sz val="9"/>
            <color indexed="81"/>
            <rFont val="Tahoma"/>
            <charset val="1"/>
          </rPr>
          <t xml:space="preserve">
Skirta lėšų JRSA DĮ Šv. Į. modernizavimas (progr. 02-01-07-01) 
+10000 Eur</t>
        </r>
      </text>
    </comment>
    <comment ref="H11" authorId="0" shapeId="0" xr:uid="{ECF10EC8-38E1-4A6C-B197-106CDB038C0B}">
      <text>
        <r>
          <rPr>
            <b/>
            <sz val="9"/>
            <color indexed="81"/>
            <rFont val="Tahoma"/>
            <family val="2"/>
            <charset val="186"/>
          </rPr>
          <t>Evelina Bietkiene:</t>
        </r>
        <r>
          <rPr>
            <sz val="9"/>
            <color indexed="81"/>
            <rFont val="Tahoma"/>
            <family val="2"/>
            <charset val="186"/>
          </rPr>
          <t xml:space="preserve">
14602-21000 Eur
14315-9531 Eur</t>
        </r>
      </text>
    </comment>
    <comment ref="D12" authorId="0" shapeId="0" xr:uid="{115352F3-323B-4274-8C21-EA783C3D1D0E}">
      <text>
        <r>
          <rPr>
            <b/>
            <sz val="9"/>
            <color indexed="81"/>
            <rFont val="Tahoma"/>
            <charset val="1"/>
          </rPr>
          <t>Evelina Bietkiene:</t>
        </r>
        <r>
          <rPr>
            <sz val="9"/>
            <color indexed="81"/>
            <rFont val="Tahoma"/>
            <charset val="1"/>
          </rPr>
          <t xml:space="preserve">
Skirta lėšų JRSA DĮ Šv. Į. modernizavimas (progr. 02-01-07-01) 
+3160 Eur</t>
        </r>
      </text>
    </comment>
    <comment ref="D13" authorId="0" shapeId="0" xr:uid="{60424CFA-9E98-4403-98FD-7409DAAEDD70}">
      <text>
        <r>
          <rPr>
            <b/>
            <sz val="9"/>
            <color indexed="81"/>
            <rFont val="Tahoma"/>
            <charset val="1"/>
          </rPr>
          <t>Evelina Bietkiene:</t>
        </r>
        <r>
          <rPr>
            <sz val="9"/>
            <color indexed="81"/>
            <rFont val="Tahoma"/>
            <charset val="1"/>
          </rPr>
          <t xml:space="preserve">
Skirta lėšų JRSA DĮ Šv. Į. modernizavimas (progr. 02-01-07-01) 
+13466 Eur</t>
        </r>
      </text>
    </comment>
    <comment ref="D14" authorId="0" shapeId="0" xr:uid="{B20803BB-D5D3-402A-8A34-ADC551886F2F}">
      <text>
        <r>
          <rPr>
            <b/>
            <sz val="9"/>
            <color indexed="81"/>
            <rFont val="Tahoma"/>
            <charset val="1"/>
          </rPr>
          <t>Evelina Bietkiene:</t>
        </r>
        <r>
          <rPr>
            <sz val="9"/>
            <color indexed="81"/>
            <rFont val="Tahoma"/>
            <charset val="1"/>
          </rPr>
          <t xml:space="preserve">
Skirta lėšų JRSA DĮ Šv. Į. modernizavimas (progr. 02-01-07-01) 
+28490 Eur</t>
        </r>
      </text>
    </comment>
    <comment ref="D15" authorId="0" shapeId="0" xr:uid="{98DAF3A5-0700-420B-9664-51393FD8643C}">
      <text>
        <r>
          <rPr>
            <b/>
            <sz val="9"/>
            <color indexed="81"/>
            <rFont val="Tahoma"/>
            <charset val="1"/>
          </rPr>
          <t>Evelina Bietkiene:</t>
        </r>
        <r>
          <rPr>
            <sz val="9"/>
            <color indexed="81"/>
            <rFont val="Tahoma"/>
            <charset val="1"/>
          </rPr>
          <t xml:space="preserve">
Skirta lėšų JRSA DĮ Šv. Į. modernizavimas (progr. 02-01-07-01) 
+38880 Eur</t>
        </r>
      </text>
    </comment>
    <comment ref="D16" authorId="0" shapeId="0" xr:uid="{E6051510-0598-49F8-B15B-6646BC870B0E}">
      <text>
        <r>
          <rPr>
            <b/>
            <sz val="9"/>
            <color indexed="81"/>
            <rFont val="Tahoma"/>
            <charset val="1"/>
          </rPr>
          <t>Evelina Bietkiene:</t>
        </r>
        <r>
          <rPr>
            <sz val="9"/>
            <color indexed="81"/>
            <rFont val="Tahoma"/>
            <charset val="1"/>
          </rPr>
          <t xml:space="preserve">
Skirta lėšų JRSA DĮ 
Šv. Į. modernizavimas (progr. 02-01-07-01) +42000 Eur  
Kultūrinės veiklos programoms (progr. 01-04-08-05) +1600 Eur</t>
        </r>
      </text>
    </comment>
    <comment ref="D17" authorId="0" shapeId="0" xr:uid="{52BC62A6-70B7-470B-9E3E-1C5B1A84A579}">
      <text>
        <r>
          <rPr>
            <b/>
            <sz val="9"/>
            <color indexed="81"/>
            <rFont val="Tahoma"/>
            <charset val="1"/>
          </rPr>
          <t>Evelina Bietkiene:</t>
        </r>
        <r>
          <rPr>
            <sz val="9"/>
            <color indexed="81"/>
            <rFont val="Tahoma"/>
            <charset val="1"/>
          </rPr>
          <t xml:space="preserve">
Skirta lėšų JRSA DĮ Šv. Į. modernizavimas (progr. 02-01-07-01) 
+78100 Eur</t>
        </r>
      </text>
    </comment>
    <comment ref="D18" authorId="0" shapeId="0" xr:uid="{72E74910-7287-497A-8787-116DFAD0D542}">
      <text>
        <r>
          <rPr>
            <b/>
            <sz val="9"/>
            <color indexed="81"/>
            <rFont val="Tahoma"/>
            <charset val="1"/>
          </rPr>
          <t>Evelina Bietkiene:</t>
        </r>
        <r>
          <rPr>
            <sz val="9"/>
            <color indexed="81"/>
            <rFont val="Tahoma"/>
            <charset val="1"/>
          </rPr>
          <t xml:space="preserve">
Skirta lėšų JRSA DĮ Šv. Į. modernizavimas (progr. 02-01-07-01) 
+12467 Eur</t>
        </r>
      </text>
    </comment>
    <comment ref="D19" authorId="0" shapeId="0" xr:uid="{A868EAAD-484A-411E-BFEE-7675CDB24CD5}">
      <text>
        <r>
          <rPr>
            <b/>
            <sz val="9"/>
            <color indexed="81"/>
            <rFont val="Tahoma"/>
            <charset val="1"/>
          </rPr>
          <t>Evelina Bietkiene:</t>
        </r>
        <r>
          <rPr>
            <sz val="9"/>
            <color indexed="81"/>
            <rFont val="Tahoma"/>
            <charset val="1"/>
          </rPr>
          <t xml:space="preserve">
Skirta lėšų JRSA DĮ Šv. Į. modernizavimas (progr. 02-01-07-01) 
+93400 Eur</t>
        </r>
      </text>
    </comment>
    <comment ref="D33" authorId="0" shapeId="0" xr:uid="{A5052C04-5D2E-4132-93B9-37DDA186C0EE}">
      <text>
        <r>
          <rPr>
            <b/>
            <sz val="9"/>
            <color indexed="81"/>
            <rFont val="Tahoma"/>
            <charset val="1"/>
          </rPr>
          <t>Evelina Bietkiene:</t>
        </r>
        <r>
          <rPr>
            <sz val="9"/>
            <color indexed="81"/>
            <rFont val="Tahoma"/>
            <charset val="1"/>
          </rPr>
          <t xml:space="preserve">
Skirta lėšų JRSA DĮ Šv. Į. modernizavimas (progr. 02-01-07-01) 
+35737 Eur</t>
        </r>
      </text>
    </comment>
    <comment ref="D34" authorId="0" shapeId="0" xr:uid="{9941C70E-F125-4B99-95BA-89386A4FCEC3}">
      <text>
        <r>
          <rPr>
            <b/>
            <sz val="9"/>
            <color indexed="81"/>
            <rFont val="Tahoma"/>
            <charset val="1"/>
          </rPr>
          <t>Evelina Bietkiene:</t>
        </r>
        <r>
          <rPr>
            <sz val="9"/>
            <color indexed="81"/>
            <rFont val="Tahoma"/>
            <charset val="1"/>
          </rPr>
          <t xml:space="preserve">
Skirta lėšų JRSA DĮ
 Šv. Į. modernizavimas (progr. 02-01-07-01) +13000 Eur
Kultūrinės veiklos programoms (progr. 01-04-08-05) 3373 Eur</t>
        </r>
      </text>
    </comment>
    <comment ref="E73" authorId="1" shapeId="0" xr:uid="{41B4DE80-B68F-4516-BA5A-23A563CDBE9D}">
      <text>
        <r>
          <rPr>
            <sz val="9"/>
            <color indexed="81"/>
            <rFont val="Tahoma"/>
            <charset val="1"/>
          </rPr>
          <t>iš jų 30000 Eur automobiliui pagal JRST sprendimą</t>
        </r>
      </text>
    </comment>
    <comment ref="I73" authorId="1" shapeId="0" xr:uid="{E2DDBB3C-CD43-4A5F-B8FF-414D5E5211DD}">
      <text>
        <r>
          <rPr>
            <sz val="9"/>
            <color indexed="81"/>
            <rFont val="Tahoma"/>
            <charset val="1"/>
          </rPr>
          <t xml:space="preserve">
iš jų 10000 automobiliui pagal JRST sprendimą
</t>
        </r>
      </text>
    </comment>
    <comment ref="E84" authorId="1" shapeId="0" xr:uid="{F9F9BFBC-5B45-4C4D-A250-21B57A0F6DF9}">
      <text>
        <r>
          <rPr>
            <sz val="9"/>
            <color indexed="81"/>
            <rFont val="Tahoma"/>
            <family val="2"/>
            <charset val="186"/>
          </rPr>
          <t>iš jų: 1000 maitinimo licencijai</t>
        </r>
      </text>
    </comment>
    <comment ref="D96" authorId="0" shapeId="0" xr:uid="{E60C6075-6276-4608-AC12-496B5F5E71FA}">
      <text>
        <r>
          <rPr>
            <b/>
            <sz val="9"/>
            <color indexed="81"/>
            <rFont val="Tahoma"/>
            <charset val="1"/>
          </rPr>
          <t>Evelina Bietkiene:</t>
        </r>
        <r>
          <rPr>
            <sz val="9"/>
            <color indexed="81"/>
            <rFont val="Tahoma"/>
            <charset val="1"/>
          </rPr>
          <t xml:space="preserve">
Skirta lėšų JRSA DĮ 
K.į. modernizavimas (progr. 02-01-07-04; 02-01-07-05) 
+5500 Eur
Kultūrinės veiklos programoms (progr. 01-04-08-05) 49956 Eur</t>
        </r>
      </text>
    </comment>
    <comment ref="D97" authorId="0" shapeId="0" xr:uid="{9849A7A5-1D1A-49ED-96BE-25E0F80F5458}">
      <text>
        <r>
          <rPr>
            <b/>
            <sz val="9"/>
            <color indexed="81"/>
            <rFont val="Tahoma"/>
            <family val="2"/>
            <charset val="186"/>
          </rPr>
          <t>Evelina Bietkiene:</t>
        </r>
        <r>
          <rPr>
            <sz val="9"/>
            <color indexed="81"/>
            <rFont val="Tahoma"/>
            <family val="2"/>
            <charset val="186"/>
          </rPr>
          <t xml:space="preserve">
Skirta lėšų JRSA DĮ K.į. modernizavimas (progr. 02-01-07-04; 02-01-07-05) 
+3200 Eur
Kultūrinės veiklos programoms (progr. 01-04-08-05) +3080 Eur</t>
        </r>
      </text>
    </comment>
    <comment ref="D98" authorId="0" shapeId="0" xr:uid="{C3C4EF21-3457-4A51-8FA3-60B67562506E}">
      <text>
        <r>
          <rPr>
            <b/>
            <sz val="9"/>
            <color indexed="81"/>
            <rFont val="Tahoma"/>
            <family val="2"/>
            <charset val="186"/>
          </rPr>
          <t xml:space="preserve">Evelina Bietkiene:
</t>
        </r>
        <r>
          <rPr>
            <sz val="9"/>
            <color indexed="81"/>
            <rFont val="Tahoma"/>
            <family val="2"/>
            <charset val="186"/>
          </rPr>
          <t>Skirta lėšų JRSA DĮ 
K.į. modernizavimas (progr. 02-01-07-04; 02-01-07-05) 
+25500 Eur
Kultūrinės veiklos programoms (progr. 01-04-08-05) +4620 Eur</t>
        </r>
      </text>
    </comment>
    <comment ref="D99" authorId="0" shapeId="0" xr:uid="{8E4E7952-06A4-45B3-8255-A21CA9568165}">
      <text>
        <r>
          <rPr>
            <b/>
            <sz val="9"/>
            <color indexed="81"/>
            <rFont val="Tahoma"/>
            <family val="2"/>
            <charset val="186"/>
          </rPr>
          <t>Evelina Bietkiene:</t>
        </r>
        <r>
          <rPr>
            <sz val="9"/>
            <color indexed="81"/>
            <rFont val="Tahoma"/>
            <family val="2"/>
            <charset val="186"/>
          </rPr>
          <t xml:space="preserve">
Skirta lėšų JRSA DĮ 
K.į. modernizavimas (progr. 02-01-07-04; 02-01-07-05) 
+25000 Eur</t>
        </r>
      </text>
    </comment>
    <comment ref="D100" authorId="0" shapeId="0" xr:uid="{ED056FCD-ACF4-4FE8-B47D-A361873AB5D0}">
      <text>
        <r>
          <rPr>
            <b/>
            <sz val="9"/>
            <color indexed="81"/>
            <rFont val="Tahoma"/>
            <family val="2"/>
            <charset val="186"/>
          </rPr>
          <t>Evelina Bietkiene:</t>
        </r>
        <r>
          <rPr>
            <sz val="9"/>
            <color indexed="81"/>
            <rFont val="Tahoma"/>
            <family val="2"/>
            <charset val="186"/>
          </rPr>
          <t xml:space="preserve">
Kultūrinės veiklos programoms (progr. 01-04-08-05) +600 Eur</t>
        </r>
      </text>
    </comment>
    <comment ref="D101" authorId="0" shapeId="0" xr:uid="{A3AF5849-6C58-457C-A50A-FE84FB7CC76D}">
      <text>
        <r>
          <rPr>
            <b/>
            <sz val="9"/>
            <color indexed="81"/>
            <rFont val="Tahoma"/>
            <family val="2"/>
            <charset val="186"/>
          </rPr>
          <t>Evelina Bietkiene:</t>
        </r>
        <r>
          <rPr>
            <sz val="9"/>
            <color indexed="81"/>
            <rFont val="Tahoma"/>
            <family val="2"/>
            <charset val="186"/>
          </rPr>
          <t xml:space="preserve">
Skirta lėšų JRSA DĮ 
K.į. modernizavimas (progr. 02-01-07-04; 02-01-07-05) 
+45450 Eur 
Kultūrinės veiklos programoms (progr. 01-04-08-05) 6148 Eur</t>
        </r>
      </text>
    </comment>
    <comment ref="D102" authorId="0" shapeId="0" xr:uid="{8408B992-6631-4CA6-AB0B-D72BDEC64EED}">
      <text>
        <r>
          <rPr>
            <b/>
            <sz val="9"/>
            <color indexed="81"/>
            <rFont val="Tahoma"/>
            <charset val="1"/>
          </rPr>
          <t>Evelina Bietkiene:</t>
        </r>
        <r>
          <rPr>
            <sz val="9"/>
            <color indexed="81"/>
            <rFont val="Tahoma"/>
            <charset val="1"/>
          </rPr>
          <t xml:space="preserve">
Skirta lėšų JRSA DĮ 
K.į. modernizavimas (progr. 02-01-07-04; 02-01-07-05) 
+9600 Eur
Kultūrinės veiklos programoms (progr. 01-04-08-05) +7161 Eur</t>
        </r>
      </text>
    </comment>
    <comment ref="D103" authorId="0" shapeId="0" xr:uid="{92A168B4-4A86-4778-AA96-F9265B8C5BFD}">
      <text>
        <r>
          <rPr>
            <b/>
            <sz val="9"/>
            <color indexed="81"/>
            <rFont val="Tahoma"/>
            <family val="2"/>
            <charset val="186"/>
          </rPr>
          <t>Evelina Bietkiene:</t>
        </r>
        <r>
          <rPr>
            <sz val="9"/>
            <color indexed="81"/>
            <rFont val="Tahoma"/>
            <family val="2"/>
            <charset val="186"/>
          </rPr>
          <t xml:space="preserve">
Lėšos paskirtos įstaigoms pagal JRSA DĮ 76538 Eur</t>
        </r>
      </text>
    </comment>
    <comment ref="D110" authorId="0" shapeId="0" xr:uid="{5B204ADD-6FEE-4839-B6A1-F3917A74E7D1}">
      <text>
        <r>
          <rPr>
            <b/>
            <sz val="9"/>
            <color indexed="81"/>
            <rFont val="Tahoma"/>
            <family val="2"/>
            <charset val="186"/>
          </rPr>
          <t>Evelina Bietkiene:</t>
        </r>
        <r>
          <rPr>
            <sz val="9"/>
            <color indexed="81"/>
            <rFont val="Tahoma"/>
            <family val="2"/>
            <charset val="186"/>
          </rPr>
          <t xml:space="preserve">
Lėšos paskirtos įstaigoms pagal JRSA DĮ 10000</t>
        </r>
      </text>
    </comment>
    <comment ref="D111" authorId="0" shapeId="0" xr:uid="{59ECEF41-1013-45CF-A0EA-2130C8AE0E99}">
      <text>
        <r>
          <rPr>
            <b/>
            <sz val="9"/>
            <color indexed="81"/>
            <rFont val="Tahoma"/>
            <family val="2"/>
            <charset val="186"/>
          </rPr>
          <t>Evelina Bietkiene:</t>
        </r>
        <r>
          <rPr>
            <sz val="9"/>
            <color indexed="81"/>
            <rFont val="Tahoma"/>
            <family val="2"/>
            <charset val="186"/>
          </rPr>
          <t xml:space="preserve">
Lėšos paskirtos įstaigoms pagal JRSA DĮ 66538 Eur</t>
        </r>
      </text>
    </comment>
    <comment ref="D115" authorId="0" shapeId="0" xr:uid="{AD1EB809-DA0A-425A-AB71-16BB05633CCB}">
      <text>
        <r>
          <rPr>
            <b/>
            <sz val="9"/>
            <color indexed="81"/>
            <rFont val="Tahoma"/>
            <family val="2"/>
            <charset val="186"/>
          </rPr>
          <t>Evelina Bietkiene:</t>
        </r>
        <r>
          <rPr>
            <sz val="9"/>
            <color indexed="81"/>
            <rFont val="Tahoma"/>
            <family val="2"/>
            <charset val="186"/>
          </rPr>
          <t xml:space="preserve">
Skirta lėšų JRSA DĮ 
 modernizavimas (progr. 02-01-07-01)
+70000 Eur</t>
        </r>
      </text>
    </comment>
    <comment ref="E125" authorId="1" shapeId="0" xr:uid="{6AC2EC3E-7322-4EB6-A0C1-48ACD2B720F7}">
      <text>
        <r>
          <rPr>
            <sz val="9"/>
            <color indexed="81"/>
            <rFont val="Tahoma"/>
            <family val="2"/>
            <charset val="186"/>
          </rPr>
          <t xml:space="preserve">
nepridėta 50000 automobiliui iš SB </t>
        </r>
      </text>
    </comment>
    <comment ref="E136" authorId="1" shapeId="0" xr:uid="{78D8C955-8B6D-4ED7-85A1-3C9159592653}">
      <text>
        <r>
          <rPr>
            <sz val="9"/>
            <color indexed="81"/>
            <rFont val="Tahoma"/>
            <charset val="1"/>
          </rPr>
          <t xml:space="preserve">
11743 - AARSP lėšos
30200 - AARSP lėšos</t>
        </r>
      </text>
    </comment>
    <comment ref="E144" authorId="1" shapeId="0" xr:uid="{D9F93E6F-F2F9-4F28-AE3E-EEB002C6E182}">
      <text>
        <r>
          <rPr>
            <sz val="9"/>
            <color indexed="81"/>
            <rFont val="Tahoma"/>
            <charset val="1"/>
          </rPr>
          <t xml:space="preserve">
47851 - tikslinės lėšos už parduotus žemės slypus
20000 - tikslinės lėšos už parduotus žemės slypus
382149 - SB lėšos</t>
        </r>
      </text>
    </comment>
    <comment ref="H150" authorId="1" shapeId="0" xr:uid="{5399A1A8-C52C-4278-A297-F75CA3DA3FDA}">
      <text>
        <r>
          <rPr>
            <sz val="9"/>
            <color indexed="81"/>
            <rFont val="Tahoma"/>
            <charset val="1"/>
          </rPr>
          <t xml:space="preserve">
2079333 - KPPP lėšos
(prognozuojama suma pagal 2025 m.)</t>
        </r>
      </text>
    </comment>
    <comment ref="E162" authorId="1" shapeId="0" xr:uid="{FC1F95F0-4399-4A04-80E6-402E7CE5B70C}">
      <text>
        <r>
          <rPr>
            <sz val="9"/>
            <color indexed="81"/>
            <rFont val="Tahoma"/>
            <charset val="1"/>
          </rPr>
          <t xml:space="preserve">
40000 - AARSP lėšos</t>
        </r>
      </text>
    </comment>
    <comment ref="E163" authorId="1" shapeId="0" xr:uid="{3A32FDDE-8317-4B07-86AA-DA986B65D670}">
      <text>
        <r>
          <rPr>
            <sz val="9"/>
            <color indexed="81"/>
            <rFont val="Tahoma"/>
            <charset val="1"/>
          </rPr>
          <t xml:space="preserve">
49814 - AARSP lėšos
57800 - AARSP lėšos
42386 - SB lėšos</t>
        </r>
      </text>
    </comment>
    <comment ref="E164" authorId="1" shapeId="0" xr:uid="{4F1FF39D-2FD9-4291-9FA1-FFC27A2A2405}">
      <text>
        <r>
          <rPr>
            <sz val="9"/>
            <color indexed="81"/>
            <rFont val="Tahoma"/>
            <charset val="1"/>
          </rPr>
          <t xml:space="preserve">
3000 - AARSP lėšos</t>
        </r>
      </text>
    </comment>
    <comment ref="E165" authorId="1" shapeId="0" xr:uid="{5DA63590-2435-4C3D-92DE-47AFB3596B4E}">
      <text>
        <r>
          <rPr>
            <sz val="9"/>
            <color indexed="81"/>
            <rFont val="Tahoma"/>
            <charset val="1"/>
          </rPr>
          <t xml:space="preserve">
99081 - AARSP lėšos
60000 - AARSP lėšos</t>
        </r>
      </text>
    </comment>
    <comment ref="E166" authorId="1" shapeId="0" xr:uid="{FB16FA4F-E4E1-499B-88F0-51542F824717}">
      <text>
        <r>
          <rPr>
            <sz val="9"/>
            <color indexed="81"/>
            <rFont val="Tahoma"/>
            <charset val="1"/>
          </rPr>
          <t xml:space="preserve">
20000 - AARSP lėšos</t>
        </r>
      </text>
    </comment>
    <comment ref="E180" authorId="1" shapeId="0" xr:uid="{AA052AD4-8A54-4ECF-9BD7-68246E83E99B}">
      <text>
        <r>
          <rPr>
            <sz val="9"/>
            <color indexed="81"/>
            <rFont val="Tahoma"/>
            <family val="2"/>
            <charset val="186"/>
          </rPr>
          <t xml:space="preserve">
nepridėta 27470 kapinių tako įrengimui</t>
        </r>
      </text>
    </comment>
    <comment ref="E183" authorId="1" shapeId="0" xr:uid="{E7F720EC-5CCE-434C-9965-42C1C6868BBB}">
      <text>
        <r>
          <rPr>
            <sz val="9"/>
            <color indexed="81"/>
            <rFont val="Tahoma"/>
            <family val="2"/>
            <charset val="186"/>
          </rPr>
          <t xml:space="preserve">
skiriama Jurbarko komunalininkui</t>
        </r>
      </text>
    </comment>
    <comment ref="D196" authorId="0" shapeId="0" xr:uid="{D4DDE425-69EA-4A84-B8D7-E4093E0E4F64}">
      <text>
        <r>
          <rPr>
            <b/>
            <sz val="9"/>
            <color indexed="81"/>
            <rFont val="Tahoma"/>
            <family val="2"/>
            <charset val="186"/>
          </rPr>
          <t>Evelina Bietkiene:</t>
        </r>
        <r>
          <rPr>
            <sz val="9"/>
            <color indexed="81"/>
            <rFont val="Tahoma"/>
            <family val="2"/>
            <charset val="186"/>
          </rPr>
          <t xml:space="preserve">
Lėšos paskirtos įstaigoms pagal JRSA DĮ švietimo ir sporto įstaigoms 438700 Eur, kultūros įstaigoms 114250 Eur
</t>
        </r>
      </text>
    </comment>
    <comment ref="D197" authorId="0" shapeId="0" xr:uid="{92BEA9DD-9BE6-4E16-9F2E-CB00D156F994}">
      <text>
        <r>
          <rPr>
            <b/>
            <sz val="9"/>
            <color indexed="81"/>
            <rFont val="Tahoma"/>
            <family val="2"/>
            <charset val="186"/>
          </rPr>
          <t>Evelina Bietkiene:</t>
        </r>
        <r>
          <rPr>
            <sz val="9"/>
            <color indexed="81"/>
            <rFont val="Tahoma"/>
            <family val="2"/>
            <charset val="186"/>
          </rPr>
          <t xml:space="preserve">
Lėšos paskirtos įstaigoms pagal JRSA DĮ 438700 Eur</t>
        </r>
      </text>
    </comment>
    <comment ref="D201" authorId="0" shapeId="0" xr:uid="{6CF7A517-6F2E-4C1A-A036-E970759C6936}">
      <text>
        <r>
          <rPr>
            <b/>
            <sz val="9"/>
            <color indexed="81"/>
            <rFont val="Tahoma"/>
            <family val="2"/>
            <charset val="186"/>
          </rPr>
          <t>Evelina Bietkiene:</t>
        </r>
        <r>
          <rPr>
            <sz val="9"/>
            <color indexed="81"/>
            <rFont val="Tahoma"/>
            <family val="2"/>
            <charset val="186"/>
          </rPr>
          <t xml:space="preserve">
Lėšos paskirtos įstaigoms pagal JRSA DĮ 114250 Eur</t>
        </r>
      </text>
    </comment>
    <comment ref="E212" authorId="1" shapeId="0" xr:uid="{FF4B1EA1-1DC9-4B64-B63A-D795A6D05A99}">
      <text>
        <r>
          <rPr>
            <sz val="9"/>
            <color indexed="81"/>
            <rFont val="Tahoma"/>
            <family val="2"/>
            <charset val="186"/>
          </rPr>
          <t xml:space="preserve">
120000 JTVIC veiklai
5000 laivelių prieplaukai</t>
        </r>
      </text>
    </comment>
    <comment ref="E218" authorId="1" shapeId="0" xr:uid="{EC12202E-8F61-4747-962F-B1BADA78DEBF}">
      <text>
        <r>
          <rPr>
            <sz val="9"/>
            <color indexed="81"/>
            <rFont val="Tahoma"/>
            <family val="2"/>
            <charset val="186"/>
          </rPr>
          <t>367660 - DU
113340 - inf.technologijoms (iš jų 105000 - posėdžių salės e-balsavimo sistema)
12000 - reprezentacijai
33000 - kitos išl. (iš jų 17032 - LSA mokestis, turi būti 0,03% patvirtinto SB išlaidų)</t>
        </r>
      </text>
    </comment>
    <comment ref="D221" authorId="0" shapeId="0" xr:uid="{C435C737-7106-4E02-9E0C-22D077A19D20}">
      <text>
        <r>
          <rPr>
            <b/>
            <sz val="9"/>
            <color indexed="81"/>
            <rFont val="Tahoma"/>
            <family val="2"/>
            <charset val="186"/>
          </rPr>
          <t>Evelina Bietkiene:</t>
        </r>
        <r>
          <rPr>
            <sz val="9"/>
            <color indexed="81"/>
            <rFont val="Tahoma"/>
            <family val="2"/>
            <charset val="186"/>
          </rPr>
          <t xml:space="preserve">
Seniūnijų ir administracijos remonto ir inventoriaus įsigijimo išlaidos yra bendrose išlaidose.</t>
        </r>
      </text>
    </comment>
    <comment ref="E237" authorId="1" shapeId="0" xr:uid="{2D48C90B-CA45-4615-B62D-78BA66DB2BF9}">
      <text>
        <r>
          <rPr>
            <sz val="9"/>
            <color indexed="81"/>
            <rFont val="Tahoma"/>
            <family val="2"/>
            <charset val="186"/>
          </rPr>
          <t>150000 - palūkanoms
3000 - banko paslaugoms</t>
        </r>
      </text>
    </comment>
    <comment ref="K241" authorId="1" shapeId="0" xr:uid="{8DF13AAB-CD08-4E3B-9790-5170B1386EA0}">
      <text>
        <r>
          <rPr>
            <sz val="9"/>
            <color indexed="81"/>
            <rFont val="Tahoma"/>
            <charset val="1"/>
          </rPr>
          <t>Kredito linijos lėšos projektams vykdyti
Sutartis galioja iki 2026-11-15</t>
        </r>
      </text>
    </comment>
  </commentList>
</comments>
</file>

<file path=xl/sharedStrings.xml><?xml version="1.0" encoding="utf-8"?>
<sst xmlns="http://schemas.openxmlformats.org/spreadsheetml/2006/main" count="341" uniqueCount="326">
  <si>
    <t>Eur</t>
  </si>
  <si>
    <t>Savivaldybės biudžeto lėšos</t>
  </si>
  <si>
    <t>Speciali tikslinė dotacija</t>
  </si>
  <si>
    <t>Kitos tikslinės valstybės biudžeto lėšos</t>
  </si>
  <si>
    <t>Įstaigų pajamos</t>
  </si>
  <si>
    <t>Europos Sąjungos ir kitos finansinės paramos lėšos projektams vykdyti</t>
  </si>
  <si>
    <t>Skolintos lėšos</t>
  </si>
  <si>
    <t>IŠ VISO</t>
  </si>
  <si>
    <t>Valstybinėms (valstybės perduotoms savivaldybėms) funkcijoms atlikti</t>
  </si>
  <si>
    <t>Ugdymo reikmėms finansuoti</t>
  </si>
  <si>
    <t>gabiems mokiniams skatinti</t>
  </si>
  <si>
    <t>nepaskirstytos mokymo lėšos</t>
  </si>
  <si>
    <t>projektui „Tūkstantmečio mokyklos II“ finansuoti</t>
  </si>
  <si>
    <t>užimtumo programai vykdyti</t>
  </si>
  <si>
    <t>socialinėms paslaugoms finansuoti 
(socialinės globos paslaugoms teikti asmenims su sunkia negalia)</t>
  </si>
  <si>
    <t>socialinėms paslaugoms finansuoti 
(darbo užmokesčiui socialiniams darbuotojams, teikiantiems socialinę priežiūrą šeimoms) 
(VšĮ „Jurbarko socialinės paslaugos“)</t>
  </si>
  <si>
    <t>socialinėms paslaugoms finansuoti 
(darbo užmokesčiui individualios priežiūros darbuotojams, teikiantiems socialinę priežiūrą šeimoms) 
(VšĮ „Jurbarko socialinės paslaugos“)</t>
  </si>
  <si>
    <t>socialinių darbuotojų darbo užmokesčiui didinti (šakos profesinių sąjungų nariams)
(VšĮ „Jurbarko socialinės paslaugos“)</t>
  </si>
  <si>
    <t>dienos socialinės globos paslaugoms asmenims su proto negalia 
(VšĮ „Jurbarko socialinės paslaugos“)</t>
  </si>
  <si>
    <t>pagalbos į namus paslaugoms teikti 
(VšĮ „Jurbarko socialinės paslaugos“)</t>
  </si>
  <si>
    <t>bendrosios higienos ir laikino apgyvendinimo nakvynės namuose paslaugoms 
(VšĮ „Jurbarko socialinės paslaugos“)</t>
  </si>
  <si>
    <t>trumpalaikės ir ilgalaikės socialinės globos paslaugoms 
(VšĮ „Jurbarko socialinės paslaugos“ Eržvilko fil.)</t>
  </si>
  <si>
    <t>grupinių gyvenimo namų paslaugoms teikti 
(VšĮ „Jurbarko socialinės paslaugos“)</t>
  </si>
  <si>
    <t>socialinių dirbtuvių paslaugoms organizuoti ir teikti 
(VšĮ „Jurbarko socialinės paslaugos“)</t>
  </si>
  <si>
    <t>paslaugoms vaikus globojančiai šeimai, globėjams, įtėviams ir besirengiančiais jais tapti asmenims teikti 
(VšĮ „Jurbarko socialinės paslaugos“)</t>
  </si>
  <si>
    <t>parama vaikus globojančioms šeimoms</t>
  </si>
  <si>
    <t>akredituotai vaikų dienos socialinei priežiūrai</t>
  </si>
  <si>
    <t>kompleksinėms paslaugoms šeimai organizuoti</t>
  </si>
  <si>
    <t xml:space="preserve">asmeninei pagalbai teikti </t>
  </si>
  <si>
    <t>akredituotai socialinei reabilitacijai asmenims su negalia teikti</t>
  </si>
  <si>
    <t>laikino atokvėpio paslaugai teikti</t>
  </si>
  <si>
    <t>socialinių paslaugų šeimoms ir neįgaliesiems plėtrai</t>
  </si>
  <si>
    <t xml:space="preserve">asmenų su negalia būstui pritaikyti </t>
  </si>
  <si>
    <t>socialinio būsto fondo plėtrai, būstų įsigijimo išlaidoms</t>
  </si>
  <si>
    <t>laikinai negyvenamų, neišnuomotų ir kitų savivaldybės patalpų, labdaros valgyklos komunalinėms ir kitoms paslaugoms dengti</t>
  </si>
  <si>
    <t>lygių galimybių ir smurto prevencinėms programoms vykdyti</t>
  </si>
  <si>
    <t>socialinės paramos išmokoms</t>
  </si>
  <si>
    <t>vienkartinei, sąlyginei tikslinei ir periodinei socialinei paramai</t>
  </si>
  <si>
    <t>kompensacijoms už šildymą, kietąjį kurą, šaltą ir karštą vandenį</t>
  </si>
  <si>
    <t>socialinei paramai mirties atveju</t>
  </si>
  <si>
    <t>socialinei paramai mokiniams 
(mokinio reikmenims įsigyti)</t>
  </si>
  <si>
    <t>socialinei paramai mokiniams
(nemokamam mokinių maitinimui)</t>
  </si>
  <si>
    <t>kompensacijoms už buitinių atliekų šalinimą</t>
  </si>
  <si>
    <t>būsto nuomos, išperkamosios nuomos mokesčių kompensacijoms</t>
  </si>
  <si>
    <t xml:space="preserve">pacientų aptarnavimo kokybei gerinti 
VšĮ Jurbarko ligoninėje </t>
  </si>
  <si>
    <t>pacientų aptarnavimo kokybei gerinti 
VšĮ Jurbarko rajono PSPC</t>
  </si>
  <si>
    <t>neveiksnių asmenų būklei peržiūrėti</t>
  </si>
  <si>
    <t>VšĮ „Senovinės technikos muziejus“ veiklai finansuoti</t>
  </si>
  <si>
    <t>priemonėms, skirtoms etninės kultūros sklaidai, vykdyti</t>
  </si>
  <si>
    <t>seniūnijose organizuojamiems renginiams</t>
  </si>
  <si>
    <t xml:space="preserve">rajone organizuojamiems respublikiniams renginiams </t>
  </si>
  <si>
    <t>aukštų rezultatų pasiekusiems kolektyvams, kultūros darbuotojams, atlikėjams skatinti</t>
  </si>
  <si>
    <t>pasirengimo Dainų šventei išlaidoms (išlaidų bendrasis finansavimas)</t>
  </si>
  <si>
    <t>kultūrinės veiklos programoms (išlaidų bendrasis finansavimas) ir reprezentaciniams renginiams</t>
  </si>
  <si>
    <t>sporto centro veiklai</t>
  </si>
  <si>
    <t>suaugusiųjų ir jaunimo sportui aktyvinti</t>
  </si>
  <si>
    <t>moksleivių sportui aktyvinti</t>
  </si>
  <si>
    <t>krepšinio komandos „Jurbarkas-Karys“ dalyvavimo nacionalinėje krepšinio lygoje išlaidoms iš dalies finansuoti</t>
  </si>
  <si>
    <t>aukštų rezultatų pasiekusiems sportininkams, treneriams skatinti</t>
  </si>
  <si>
    <t>priešgaisrinės saugos priemonėms įsigyti</t>
  </si>
  <si>
    <t>higienos, apsaugos priemonėms įsigyti</t>
  </si>
  <si>
    <t>Sveikatinimo programoms</t>
  </si>
  <si>
    <t>žemės sklypų formavimo ir infrastruktūros objektų projektams, kadastriniams matavimams ir kitiems teritorijų planavimo dokumentams rengti</t>
  </si>
  <si>
    <t>savivaldybės turtui vertinti, kadastrinių matavimų byloms rengti ir nuosavybės teisės įteisinti</t>
  </si>
  <si>
    <t>eismo saugumo priemonėms diegti</t>
  </si>
  <si>
    <t>gatvėms ir vietiniams keliams rekonstruoti ir (ar) remontuoti būtinoms, bet nekompensuojamoms išlaidoms dengti</t>
  </si>
  <si>
    <t>vietinės reikšmės keliams (gatvėms) tiesti, rekonstruoti, taisyti (remontuoti), prižiūrėti, ir saugaus eismo sąlygoms užtikrinti</t>
  </si>
  <si>
    <t>keleivių vežiojimo vietinio susisiekimo maršrutais subsidijoms</t>
  </si>
  <si>
    <t>medicinos darbuotojų kelionės išlaidoms iš dalies kompensuoti</t>
  </si>
  <si>
    <t>pacientų pavežėjimo paslaugai į gydymo įstaigą užtikrinti</t>
  </si>
  <si>
    <t>kompensacijoms už lengvatinį mokinių vežimą</t>
  </si>
  <si>
    <t>negautoms pajamoms už lengvatinį socialiai remtinų ir kitų asmenų vežimą kompensuoti</t>
  </si>
  <si>
    <t xml:space="preserve">praeityje užterštoms teritorijoms, bešeimininkiams statiniams tvarkyti, kitoms aplinkos teršimo mažinimo priemonėms </t>
  </si>
  <si>
    <t>ekologinio švietimo ir informavimo priemonėms</t>
  </si>
  <si>
    <t>medžiojamų gyvūnų daromos žalos gamtai prevencinėms priemonėms įgyvendinti</t>
  </si>
  <si>
    <t>dviračių ir kitų bevariklių transporto priemonių takams bei kitiems infrastruktūros elementams įrengti ir prižiūrėti</t>
  </si>
  <si>
    <t>gyvūnų populiacijos reguliavimo programai</t>
  </si>
  <si>
    <t>buitinių atliekų šalinimo išlaidoms finansuoti</t>
  </si>
  <si>
    <t>miesto stebėjimo vaizdo kameromis paslaugoms</t>
  </si>
  <si>
    <t>policijos pareigūnų pritraukimui ir rėmimui</t>
  </si>
  <si>
    <t>vietinių nuotekų įrenginių įsigijimo kompensacijoms mokėti</t>
  </si>
  <si>
    <t>geriamojo vandens kokybės gerinimo projektui (gręžinio įrengimas Šimkaičių seniūnijoje)</t>
  </si>
  <si>
    <t>paviršinių nuotekų tinklų plovimas ir inventorizacija, vandens bokšto renovacija</t>
  </si>
  <si>
    <t>smulkiems infrastruktūros objektams, vaikų žaidimo aikštelėms  įrengti, remontuoti, prižiūrėti</t>
  </si>
  <si>
    <t>daugiabučių namų savininkų bendrijoms remti</t>
  </si>
  <si>
    <t>gatvių apšvietimo infrastruktūros priežiūrai ir plėtrai Jurbarko mieste ir rajone</t>
  </si>
  <si>
    <t>daugiabučių namų viešojo naudojimo infrastruktūros modernizavimo projektui (kvartalo Jurbarke sutvarkymas)</t>
  </si>
  <si>
    <t>Eržvilko seniūnijai</t>
  </si>
  <si>
    <t>Girdžių seniūnijai</t>
  </si>
  <si>
    <t>Juodaičių seniūnijai</t>
  </si>
  <si>
    <t>Jurbarko miesto seniūnijai</t>
  </si>
  <si>
    <t>Jurbarkų seniūnijai</t>
  </si>
  <si>
    <t>Raudonės seniūnijai</t>
  </si>
  <si>
    <t>Seredžiaus seniūnijai</t>
  </si>
  <si>
    <t>Skirsnemunės seniūnijai</t>
  </si>
  <si>
    <t>Smalininkų seniūnijai</t>
  </si>
  <si>
    <t>Šimkaičių seniūnijai</t>
  </si>
  <si>
    <t>Veliuonos seniūnijai</t>
  </si>
  <si>
    <t>Viešvilės seniūnijai</t>
  </si>
  <si>
    <t>švietimo ir sporto įstaigų pastatams remontuoti ir avarinėms situacijoms likviduoti</t>
  </si>
  <si>
    <t>nekilnojamųjų kultūros vertybių apskaitai, kultūros paveldo objektų tvarkybai, archeologiniams tyrimams</t>
  </si>
  <si>
    <t>religinėms bendruomenėms remti</t>
  </si>
  <si>
    <t>kultūros įstaigoms remontuoti (nenumatytoms avarinėms situacijoms likviduoti)</t>
  </si>
  <si>
    <t>kultūros įstaigoms inventoriui ir ilgalaikiam turtui įsigyti</t>
  </si>
  <si>
    <t>sporto komplekso Vydūno g. 15 Jurbarko mieste atnaujinimas, kapitalinis remontas</t>
  </si>
  <si>
    <t>melioracijos išlaidoms finansuoti</t>
  </si>
  <si>
    <t>melioracijos statinių naudotojų asociacijų narių vykdomi žemių sausinimo sistemų ir melioracijos statinių rekonstravimo projektai</t>
  </si>
  <si>
    <t>kaimo plėtrai ir ūkininkams remti</t>
  </si>
  <si>
    <t>smulkiam ir vidutiniam verslui skatinti</t>
  </si>
  <si>
    <t>VšĮ Turizmo ir verslo informacijos centro veiklos plėtrai, mažųjų laivelių plieplaukai įveiklinti</t>
  </si>
  <si>
    <t>VšĮ Turizmo ir verslo informacijos centrui (dalinis finansavimas iš veiklos pajamų)</t>
  </si>
  <si>
    <t>savivaldybės mero fondui 
(reprezentacinėms išlaidoms)</t>
  </si>
  <si>
    <t>vykdomajai institucijai bendrosioms paslaugoms finansuoti</t>
  </si>
  <si>
    <t>Eržvilko seniūnijai bendrosioms paslaugoms</t>
  </si>
  <si>
    <t xml:space="preserve">Girdžių seniūnijai bendrosioms paslaugoms </t>
  </si>
  <si>
    <t xml:space="preserve">Juodaičių seniūnijai bendrosioms paslaugoms </t>
  </si>
  <si>
    <t xml:space="preserve">Jurbarko miesto seniūnijai bendrosioms paslaugoms </t>
  </si>
  <si>
    <t xml:space="preserve">Jurbarkų seniūnijai bendrosioms paslaugoms </t>
  </si>
  <si>
    <t xml:space="preserve">Raudonės seniūnijai bendrosioms paslaugoms </t>
  </si>
  <si>
    <t xml:space="preserve">Seredžiaus seniūnijai bendrosioms paslaugoms </t>
  </si>
  <si>
    <t xml:space="preserve">Skirsnemunės seniūnijai bendrosioms paslaugoms </t>
  </si>
  <si>
    <t xml:space="preserve">Smalininkų seniūnijai bendrosioms paslaugoms </t>
  </si>
  <si>
    <t xml:space="preserve">Šimkaičių seniūnijai bendrosioms paslaugoms </t>
  </si>
  <si>
    <t xml:space="preserve">Veliuonos seniūnijai bendrosioms paslaugoms </t>
  </si>
  <si>
    <t xml:space="preserve">Viešvilės seniūnijai bendrosioms paslaugoms </t>
  </si>
  <si>
    <t>savivaldybės biudžete nenumatytoms išlaidoms finansuoti</t>
  </si>
  <si>
    <t>projektų rengimo, konsultavimo, ekspertizių paslaugoms ir kitoms būtinoms išlaidoms finansuoti</t>
  </si>
  <si>
    <t>VVG „Nemunas“ atrinktiems  projektams remti</t>
  </si>
  <si>
    <t>MVVG „Jurbarkas“ atrinktiems  projektams remti</t>
  </si>
  <si>
    <t>IŠ VISO ASIGNAVIMŲ</t>
  </si>
  <si>
    <t>IŠ VISO IŠLAIDŲ</t>
  </si>
  <si>
    <t xml:space="preserve">Eil. Nr.  </t>
  </si>
  <si>
    <t xml:space="preserve">laikinai krizių įveikimo paslaugai </t>
  </si>
  <si>
    <t>13.1</t>
  </si>
  <si>
    <t>13.2</t>
  </si>
  <si>
    <t>13.3</t>
  </si>
  <si>
    <t>Finansinių įsipareigojimų vykdymas 
(paskolų grąžinimas)</t>
  </si>
  <si>
    <t>Jurbarko r. savivaldybės administracija, iš jų:</t>
  </si>
  <si>
    <t>01 Gyvenimo kokybės gerinimo programa</t>
  </si>
  <si>
    <t>01-01-11 Ikimokyklinio, priešmokyklinio ir bendrojo ugdymo aplinkos modernizavimas</t>
  </si>
  <si>
    <t>01-01-12 Švietimo ir mokymo kokybės gerinimas</t>
  </si>
  <si>
    <t>01-01-13 Neformaliojo vaikų švietimo programų pasiūlos plėtra plėtojimas</t>
  </si>
  <si>
    <t>projektui „Mobilios komandos aprūpinimas įranga ir transporto priemone"</t>
  </si>
  <si>
    <r>
      <rPr>
        <b/>
        <sz val="11"/>
        <rFont val="Times New Roman"/>
        <family val="1"/>
        <charset val="186"/>
      </rPr>
      <t>Jurbarko krašto muziejus</t>
    </r>
    <r>
      <rPr>
        <sz val="11"/>
        <rFont val="Times New Roman"/>
        <family val="1"/>
        <charset val="186"/>
      </rPr>
      <t xml:space="preserve">
01-04-07 Jurbarko krašto istorijos įprasminimui skirtų veiklų organizavimas, koordinavimas bei valdymas 
Jurbarko muziejuje</t>
    </r>
  </si>
  <si>
    <t>01-07-01 Nevyriausybinių organizacijų ir kitų juridinių asmenų finansavimas</t>
  </si>
  <si>
    <t>01-07-02 Dalyvaujamojo biudžeto iniciatyvų įgyvendinimas</t>
  </si>
  <si>
    <t>01-07-03  Jaunimui skirtų paslaugų bei galimybių tinklo plėtra</t>
  </si>
  <si>
    <t>02-01-01 Teritorijų planavimo dokumentų ir projektinės dokumentacijos parengimas</t>
  </si>
  <si>
    <t>02-01-02 Vietinės reikšmės kelių ir kelio statinių priežiūra, rekonstrukcija ir plėtra</t>
  </si>
  <si>
    <t>02-01-04 Švaros, tvarkos ir saugumo viešojo naudojimo teritorijose užtikrinimas</t>
  </si>
  <si>
    <t>02-01-05 Vandens tiekimo ir nuotekų tvarkymo bei paviršinių vandens surinkimo sistemų atnaujinimas ir plėtra</t>
  </si>
  <si>
    <t>02-01-06 Miestų, miestelių ir kaimų viešosios infrastruktūros kompleksinis sutvarkymas</t>
  </si>
  <si>
    <t>02-02-01 Melioracijos statinių remontas, rekonstrukcija, priežiūra ir apskaita</t>
  </si>
  <si>
    <t>03-01 Padidinti savivaldybės valdymo efektyvumą</t>
  </si>
  <si>
    <t>projektui „Skatinamųjų priemonių investuoti sudarymas Tauragė+ FZ ir pramoninės teritorijos infrastruktūros plėtra Jurbarko mieste"</t>
  </si>
  <si>
    <t>VšĮ „Žaliasis regionas" veiklai iš dalies finansuoti</t>
  </si>
  <si>
    <t xml:space="preserve">komunalinėms paslaugoms finansuoti 
VšĮ Jurbarko rajono PSPC (iš veiklos pajamų) </t>
  </si>
  <si>
    <t>03-01-01 Savivaldybės tarybos veiklos užtikrinimas</t>
  </si>
  <si>
    <t>03-01-02 Jurbarko rajono savivaldybės administracijos ir padalinių (seniūnijų) veiklos užtikrinimas, teikiamų paslaugų prieinamumo didinimas</t>
  </si>
  <si>
    <t>03-01-05 Savivaldybės mero rezervo formavimas ekstremalių situacijų valdymui</t>
  </si>
  <si>
    <t>03-01-06 Projektų būtinųjų išlaidų finansavimas</t>
  </si>
  <si>
    <r>
      <rPr>
        <b/>
        <sz val="11"/>
        <rFont val="Times New Roman"/>
        <family val="1"/>
        <charset val="186"/>
      </rPr>
      <t>Jurbarko r. savivaldybės administracija 
(Finansų skyrius)</t>
    </r>
    <r>
      <rPr>
        <sz val="11"/>
        <rFont val="Times New Roman"/>
        <family val="1"/>
        <charset val="186"/>
      </rPr>
      <t xml:space="preserve">
Finansinių įsipareigojimų vykdymas 
(paskolų grąžinimas)</t>
    </r>
  </si>
  <si>
    <t>02 Tvaraus teritorijų vystymo ir ekonominio konkurencingumo didinimo programa</t>
  </si>
  <si>
    <t>03 Efektyvaus administravimo ir finansinių išteklių valdymo programa</t>
  </si>
  <si>
    <t>02-01-07 Savivaldybės švietimo, kultūros ir sporto infrastruktūros modernizavimas</t>
  </si>
  <si>
    <t>02-02-02 Ekonominės veiklos iniciatyvų rėmimas</t>
  </si>
  <si>
    <t>projektui „Ankstyvojo ugdymo užtikrinimas vaikams iš socialinę riziką patiriančių šeimų"</t>
  </si>
  <si>
    <t>socialinių paslaugų srities darbuotojų kelionės išlaidoms iš dalies kompensuoti</t>
  </si>
  <si>
    <t>transporto paslaugai asmenims su negalia teikti
(VšĮ „Jurbarko socialinės paslaugos“, 
Lietuvos samariečių Jurbarko krašto bendrija, 
Jurbarko neįgaliųjų draugija)</t>
  </si>
  <si>
    <t>maitinimui  labdaros valgykloje organizuoti 
(Lietuvos samariečių Jurbarko krašto bendrija, Labdaros ir paramos fondas „Maisto bankas")</t>
  </si>
  <si>
    <t>Asignavimų valdytojo,
struktūrinio padalinio,
programos, uždavinio, 
priemonės pavadinimas
programų vykdytojai, atsakingi asmenys</t>
  </si>
  <si>
    <t>sporto klubų veiklos programoms iš dalies finansuoti</t>
  </si>
  <si>
    <t>02-01-03 Susisiekimo viešuoju transportu prieinamumo užtikrinimas</t>
  </si>
  <si>
    <t>02-02-03 Turizmo ir verslo skatinimas</t>
  </si>
  <si>
    <t xml:space="preserve"> ilgalaikė socialinė globa iki 2007-01-01 iš apskričių viršininkų perduotose įstaigose
(VšĮ „Jurbarko socialinės paslaugos“)</t>
  </si>
  <si>
    <r>
      <rPr>
        <b/>
        <sz val="11"/>
        <rFont val="Times New Roman"/>
        <family val="1"/>
        <charset val="186"/>
      </rPr>
      <t>Jurbarko r. savivaldybės administracija</t>
    </r>
    <r>
      <rPr>
        <sz val="11"/>
        <rFont val="Times New Roman"/>
        <family val="1"/>
        <charset val="186"/>
      </rPr>
      <t xml:space="preserve">
01-05-02 Gyventojams palankios fizinio aktyvumo aplinkos kūrimas ir aukšto meistriškumo sporto klubų rėmimas</t>
    </r>
  </si>
  <si>
    <t>automobilių sporto klubo "NG Racing Team" dalyvavimo Europos Rali Kroso čempionate išlaidoms iš dalies finansuoti</t>
  </si>
  <si>
    <t>18.1</t>
  </si>
  <si>
    <t>18.2</t>
  </si>
  <si>
    <t>pagalba į namus</t>
  </si>
  <si>
    <t xml:space="preserve">nevyriausybinėms ir bendruomeninėms organizacijoms remti </t>
  </si>
  <si>
    <t>01-02-02 Socialinių paslaugų Seredžiaus senelių globos namuose teikimas</t>
  </si>
  <si>
    <t>01-02-01 Socialinių paslaugų teikimas</t>
  </si>
  <si>
    <t>Seredžiaus senelių globos namai, iš jų:</t>
  </si>
  <si>
    <t>pedagoginio personalo optimizavimui ir atnaujinimui</t>
  </si>
  <si>
    <t>projektui "Gamtos ir kultūros objektų pritaikymas lankymui Jurbarko rajono savivaldybėje"</t>
  </si>
  <si>
    <t>projektui "Perėjimas nuo institucinės globos prie bendruomeninių paslaugų Sostinės regione, Vidurio ir Vakarų Lietuvos regione"</t>
  </si>
  <si>
    <t>projektui "Sveikatos centro sudėtyje teikiamų sveikatos priežiūros paslaugų infrastruktūros modernizavimas Jurbarko rajono savivaldybėje"</t>
  </si>
  <si>
    <t>mokyklų aprūpinimo geltonaisiais autobusais programos lėšos</t>
  </si>
  <si>
    <r>
      <t xml:space="preserve">01-01 Sudaryti tinkamas ugdymo paslaugų teikimo sąlygas
</t>
    </r>
    <r>
      <rPr>
        <sz val="11"/>
        <rFont val="Times New Roman"/>
        <family val="1"/>
        <charset val="186"/>
      </rPr>
      <t>(koordinatorius - Švietimo, kultūros ir sporto skyriaus vedėjas)</t>
    </r>
  </si>
  <si>
    <r>
      <rPr>
        <b/>
        <sz val="11"/>
        <rFont val="Times New Roman"/>
        <family val="1"/>
        <charset val="186"/>
      </rPr>
      <t>Jurbarko vaikų lopšelis-darželis „Nykštukas“</t>
    </r>
    <r>
      <rPr>
        <sz val="11"/>
        <rFont val="Times New Roman"/>
        <family val="1"/>
        <charset val="186"/>
      </rPr>
      <t xml:space="preserve">
01-01-01 Ikimokyklinio ir priešmokyklinio vaikų ugdymo ir saugios aplinkos užtikrinimas Jurbarko vaikų lopšelyje-darželyje „Nykštukas“</t>
    </r>
  </si>
  <si>
    <r>
      <rPr>
        <b/>
        <sz val="11"/>
        <rFont val="Times New Roman"/>
        <family val="1"/>
        <charset val="186"/>
      </rPr>
      <t>Jurbarko  „Ąžuoliuko“ mokykla</t>
    </r>
    <r>
      <rPr>
        <sz val="11"/>
        <rFont val="Times New Roman"/>
        <family val="1"/>
        <charset val="186"/>
      </rPr>
      <t xml:space="preserve">
01-01-02 Ikimokyklinio ir priešmokyklinio vaikų ugdymo, specialiojo ugdymo  ir saugios aplinkos užtikrinimas Jurbarko  „Ąžuoliuko“ mokykloje</t>
    </r>
  </si>
  <si>
    <r>
      <rPr>
        <b/>
        <sz val="11"/>
        <rFont val="Times New Roman"/>
        <family val="1"/>
        <charset val="186"/>
      </rPr>
      <t>Jurbarko r. Jurbarkų darželis-mokykla</t>
    </r>
    <r>
      <rPr>
        <sz val="11"/>
        <rFont val="Times New Roman"/>
        <family val="1"/>
        <charset val="186"/>
      </rPr>
      <t xml:space="preserve">
01-01-03 Ikimokyklinio, priešmokyklinio ir pradinio ugdymo ir saugios aplinkos užtikrinimas Jurbarko r. Jurbarkų darželyje-mokykloje</t>
    </r>
  </si>
  <si>
    <r>
      <rPr>
        <b/>
        <sz val="11"/>
        <rFont val="Times New Roman"/>
        <family val="1"/>
        <charset val="186"/>
      </rPr>
      <t>Jurbarko r. Šimkaičių Jono Žemaičio pagrindinė mokykla</t>
    </r>
    <r>
      <rPr>
        <sz val="11"/>
        <rFont val="Times New Roman"/>
        <family val="1"/>
        <charset val="186"/>
      </rPr>
      <t xml:space="preserve">
01-01-04 Kokybiško ikimokyklinio, priešmokyklinio ir pagrindinio ugdymo proceso organizavimas bei valdymas Jurbarko r. Šimkaičių Jono Žemaičio pagrindinėje mokykloje</t>
    </r>
  </si>
  <si>
    <r>
      <rPr>
        <b/>
        <sz val="11"/>
        <rFont val="Times New Roman"/>
        <family val="1"/>
        <charset val="186"/>
      </rPr>
      <t>Jurbarko r. Skirsnemunės Jurgio Baltrušaičio pagrindinė mokykla</t>
    </r>
    <r>
      <rPr>
        <sz val="11"/>
        <rFont val="Times New Roman"/>
        <family val="1"/>
        <charset val="186"/>
      </rPr>
      <t xml:space="preserve">
01-01-05 Kokybiško ikimokyklinio, priešmokyklinio ir pagrindinio ugdymo proceso organizavimas bei valdymas Jurbarko r. Skirsnemunės Jurgio Baltrušaičio pagrindinėje mokykloje</t>
    </r>
  </si>
  <si>
    <r>
      <rPr>
        <b/>
        <sz val="11"/>
        <rFont val="Times New Roman"/>
        <family val="1"/>
        <charset val="186"/>
      </rPr>
      <t>Jurbarko r. Eržvilko gimnazija</t>
    </r>
    <r>
      <rPr>
        <sz val="11"/>
        <rFont val="Times New Roman"/>
        <family val="1"/>
        <charset val="186"/>
      </rPr>
      <t xml:space="preserve">
01-01-06 Kokybiško ikimokyklinio, priešmokyklinio ir bendrojo ugdymo proceso organizavimas bei valdymas Jurbarko r. Eržvilko gimnazijoje</t>
    </r>
  </si>
  <si>
    <r>
      <rPr>
        <b/>
        <sz val="11"/>
        <rFont val="Times New Roman"/>
        <family val="1"/>
        <charset val="186"/>
      </rPr>
      <t>Jurbarko r. Veliuonos Antano ir Jono Juškų gimnazija</t>
    </r>
    <r>
      <rPr>
        <sz val="11"/>
        <rFont val="Times New Roman"/>
        <family val="1"/>
        <charset val="186"/>
      </rPr>
      <t xml:space="preserve">
01-01-07 Kokybiško ikimokyklinio, priešmokyklinio ir bendrojo ugdymo proceso organizavimas bei valdymas Jurbarko r. Veliuonos Antano ir Jono Juškų gimnazijoje</t>
    </r>
  </si>
  <si>
    <r>
      <rPr>
        <b/>
        <sz val="11"/>
        <rFont val="Times New Roman"/>
        <family val="1"/>
        <charset val="186"/>
      </rPr>
      <t>Jurbarko Vytauto Didžiojo pagrindinė mokykla</t>
    </r>
    <r>
      <rPr>
        <sz val="11"/>
        <rFont val="Times New Roman"/>
        <family val="1"/>
        <charset val="186"/>
      </rPr>
      <t xml:space="preserve">
01-01-08 Kokybiško ikimokyklinio, priešmokyklinio ir bendrojo ugdymo proceso organizavimas bei valdymas Jurbarko Vytauto Didžiojo pagrindinėje mokykloje</t>
    </r>
  </si>
  <si>
    <r>
      <rPr>
        <b/>
        <sz val="11"/>
        <rFont val="Times New Roman"/>
        <family val="1"/>
        <charset val="186"/>
      </rPr>
      <t>Jurbarko Naujamiesčio progimnazija</t>
    </r>
    <r>
      <rPr>
        <sz val="11"/>
        <rFont val="Times New Roman"/>
        <family val="1"/>
        <charset val="186"/>
      </rPr>
      <t xml:space="preserve">
01-01-09 Kokybiško bendrojo ugdymo proceso organizavimas bei valdymas Jurbarko Naujamiesčio progimnazijoje</t>
    </r>
  </si>
  <si>
    <r>
      <rPr>
        <b/>
        <sz val="11"/>
        <rFont val="Times New Roman"/>
        <family val="1"/>
        <charset val="186"/>
      </rPr>
      <t>Jurbarko Antano Giedraičio-Giedriaus  gimnazija</t>
    </r>
    <r>
      <rPr>
        <sz val="11"/>
        <rFont val="Times New Roman"/>
        <family val="1"/>
        <charset val="186"/>
      </rPr>
      <t xml:space="preserve">
01-01-10 Kokybiško bendrojo ugdymo proceso organizavimas bei valdymas Jurbarko Antano Giedraičio-Giedriaus  gimnazijoje</t>
    </r>
  </si>
  <si>
    <r>
      <rPr>
        <b/>
        <sz val="11"/>
        <rFont val="Times New Roman"/>
        <family val="1"/>
        <charset val="186"/>
      </rPr>
      <t>Jurbarko švietimo centras</t>
    </r>
    <r>
      <rPr>
        <sz val="11"/>
        <rFont val="Times New Roman"/>
        <family val="1"/>
        <charset val="186"/>
      </rPr>
      <t xml:space="preserve">
01-01-14 Jurbarko švietimo centro paslaugų užtikrinimas</t>
    </r>
  </si>
  <si>
    <r>
      <rPr>
        <b/>
        <sz val="11"/>
        <rFont val="Times New Roman"/>
        <family val="1"/>
        <charset val="186"/>
      </rPr>
      <t>Jurbarko Antano Sodeikos meno mokykla</t>
    </r>
    <r>
      <rPr>
        <sz val="11"/>
        <rFont val="Times New Roman"/>
        <family val="1"/>
        <charset val="186"/>
      </rPr>
      <t xml:space="preserve">
01-01-15 Formalųjį švietimą papildančio ugdymo  proceso organizavimas bei valdymas Jurbarko Antano Sodeikos meno mokykloje</t>
    </r>
  </si>
  <si>
    <r>
      <t xml:space="preserve">01-02 Užtikrinti socialinės paramos prieinamumą 
</t>
    </r>
    <r>
      <rPr>
        <sz val="11"/>
        <rFont val="Times New Roman"/>
        <family val="1"/>
        <charset val="186"/>
      </rPr>
      <t>(koordinatorius - Socialinės paramos skyriaus vedėjas)</t>
    </r>
  </si>
  <si>
    <r>
      <rPr>
        <b/>
        <sz val="11"/>
        <rFont val="Times New Roman"/>
        <family val="1"/>
        <charset val="186"/>
      </rPr>
      <t>Jurbarko r. savivaldybės administracija</t>
    </r>
    <r>
      <rPr>
        <sz val="11"/>
        <rFont val="Times New Roman"/>
        <family val="1"/>
        <charset val="186"/>
      </rPr>
      <t xml:space="preserve">
01-02-01 Socialinių paslaugų teikimas</t>
    </r>
  </si>
  <si>
    <r>
      <rPr>
        <b/>
        <sz val="11"/>
        <rFont val="Times New Roman"/>
        <family val="1"/>
        <charset val="186"/>
      </rPr>
      <t>Jurbarko r. savivaldybės administracija</t>
    </r>
    <r>
      <rPr>
        <sz val="11"/>
        <rFont val="Times New Roman"/>
        <family val="1"/>
        <charset val="186"/>
      </rPr>
      <t xml:space="preserve">
01-02-03 Socialinių išmokų ir kompensacijų mokėjimas</t>
    </r>
  </si>
  <si>
    <r>
      <t xml:space="preserve">01-03 Užtikrinti gyventojams kokybiškų visuomenės ir asmens sveikatos priežiūros paslaugų teikimą
</t>
    </r>
    <r>
      <rPr>
        <sz val="11"/>
        <rFont val="Times New Roman"/>
        <family val="1"/>
        <charset val="186"/>
      </rPr>
      <t>(koordinatorius - Sveikatos reikalų koordinatorius)</t>
    </r>
  </si>
  <si>
    <r>
      <rPr>
        <b/>
        <sz val="11"/>
        <rFont val="Times New Roman"/>
        <family val="1"/>
        <charset val="186"/>
      </rPr>
      <t>Jurbarko rajono savivaldybės visuomenės sveikatos biuras</t>
    </r>
    <r>
      <rPr>
        <sz val="11"/>
        <rFont val="Times New Roman"/>
        <family val="1"/>
        <charset val="186"/>
      </rPr>
      <t xml:space="preserve">
01-03-01 Jurbarko rajono savivaldybės visuomenės sveikatos biuro kryptingas visuomenės sveikatinimo veiklos vykdymas</t>
    </r>
  </si>
  <si>
    <r>
      <rPr>
        <b/>
        <sz val="11"/>
        <rFont val="Times New Roman"/>
        <family val="1"/>
        <charset val="186"/>
      </rPr>
      <t>Jurbarko r. savivaldybės administracija</t>
    </r>
    <r>
      <rPr>
        <sz val="11"/>
        <rFont val="Times New Roman"/>
        <family val="1"/>
        <charset val="186"/>
      </rPr>
      <t xml:space="preserve">
01-03-02 Asmens sveikatos priežiūros paslaugų kokybės ir prieinamumo didinimas</t>
    </r>
  </si>
  <si>
    <r>
      <t xml:space="preserve">01-04 Išplėtoti kokybiškų kultūros paslaugų įvairovę ir prieinamumą
</t>
    </r>
    <r>
      <rPr>
        <sz val="11"/>
        <rFont val="Times New Roman"/>
        <family val="1"/>
        <charset val="186"/>
      </rPr>
      <t>(koordinatorius - Švietimo, kultūros ir sporto skyriaus vedėjas)</t>
    </r>
  </si>
  <si>
    <r>
      <rPr>
        <b/>
        <sz val="11"/>
        <rFont val="Times New Roman"/>
        <family val="1"/>
        <charset val="186"/>
      </rPr>
      <t>Jurbarko kultūros centras</t>
    </r>
    <r>
      <rPr>
        <sz val="11"/>
        <rFont val="Times New Roman"/>
        <family val="1"/>
        <charset val="186"/>
      </rPr>
      <t xml:space="preserve">
01-04-01 Kultūros paslaugų ir meno mėgėjų veiklos užtikrinimas ir plėtojimas 
Jurbarko kultūros centre</t>
    </r>
  </si>
  <si>
    <r>
      <rPr>
        <b/>
        <sz val="11"/>
        <rFont val="Times New Roman"/>
        <family val="1"/>
        <charset val="186"/>
      </rPr>
      <t>Veliuonos kultūros centras</t>
    </r>
    <r>
      <rPr>
        <sz val="11"/>
        <rFont val="Times New Roman"/>
        <family val="1"/>
        <charset val="186"/>
      </rPr>
      <t xml:space="preserve">
01-04-02 Kultūros paslaugų ir meno mėgėjų veiklos užtikrinimas ir plėtojimas 
Veliuonos kultūros centre</t>
    </r>
  </si>
  <si>
    <r>
      <rPr>
        <b/>
        <sz val="11"/>
        <rFont val="Times New Roman"/>
        <family val="1"/>
        <charset val="186"/>
      </rPr>
      <t>Eržvilko kultūros centras</t>
    </r>
    <r>
      <rPr>
        <sz val="11"/>
        <rFont val="Times New Roman"/>
        <family val="1"/>
        <charset val="186"/>
      </rPr>
      <t xml:space="preserve">
01-04-03 Kultūros paslaugų ir meno mėgėjų veiklos užtikrinimas ir plėtojimas 
Eržvilko kultūros centre</t>
    </r>
  </si>
  <si>
    <r>
      <rPr>
        <b/>
        <sz val="11"/>
        <rFont val="Times New Roman"/>
        <family val="1"/>
        <charset val="186"/>
      </rPr>
      <t>Mažosios Lietuvos Jurbarko krašto  kultūros centras</t>
    </r>
    <r>
      <rPr>
        <sz val="11"/>
        <rFont val="Times New Roman"/>
        <family val="1"/>
        <charset val="186"/>
      </rPr>
      <t xml:space="preserve">
01-04-04 Kultūros paslaugų ir meno mėgėjų veiklos užtikrinimas ir plėtojimas Mažosios Lietuvos Jurbarko krašto  kultūros centre</t>
    </r>
  </si>
  <si>
    <r>
      <rPr>
        <b/>
        <sz val="11"/>
        <rFont val="Times New Roman"/>
        <family val="1"/>
        <charset val="186"/>
      </rPr>
      <t>Klausučių kultūros centras</t>
    </r>
    <r>
      <rPr>
        <sz val="11"/>
        <rFont val="Times New Roman"/>
        <family val="1"/>
        <charset val="186"/>
      </rPr>
      <t xml:space="preserve">
01-04-05 Kultūros paslaugų ir meno mėgėjų veiklos užtikrinimas ir plėtojimas 
Klausučių kultūros centre</t>
    </r>
  </si>
  <si>
    <r>
      <rPr>
        <b/>
        <sz val="11"/>
        <rFont val="Times New Roman"/>
        <family val="1"/>
        <charset val="186"/>
      </rPr>
      <t>Jurbarko rajono savivaldybės viešoji  biblioteka</t>
    </r>
    <r>
      <rPr>
        <sz val="11"/>
        <rFont val="Times New Roman"/>
        <family val="1"/>
        <charset val="186"/>
      </rPr>
      <t xml:space="preserve">
01-04-06 Informacinių, komunikacinių ir kultūrinių veiklų plėtojimas Jurbarko rajono savivaldybės viešojoje  bibliotekoje</t>
    </r>
  </si>
  <si>
    <r>
      <rPr>
        <b/>
        <sz val="11"/>
        <rFont val="Times New Roman"/>
        <family val="1"/>
        <charset val="186"/>
      </rPr>
      <t>Jurbarko r. savivaldybės administracija</t>
    </r>
    <r>
      <rPr>
        <sz val="11"/>
        <rFont val="Times New Roman"/>
        <family val="1"/>
        <charset val="186"/>
      </rPr>
      <t xml:space="preserve">
01-04-08 Veiklos, didinančios kultūrinių ir etninių paslaugų prieinamumą bei kokybę, vykdymas</t>
    </r>
  </si>
  <si>
    <r>
      <t xml:space="preserve">01-05 Užtikrinti kryptingą sporto ugdymo procesą, rengti ir ugdyti aukšto meistriškumo sportininkus
</t>
    </r>
    <r>
      <rPr>
        <sz val="11"/>
        <rFont val="Times New Roman"/>
        <family val="1"/>
        <charset val="186"/>
      </rPr>
      <t>(koordinatorius - Švietimo, kultūros ir sporto skyriaus vedėjas)</t>
    </r>
  </si>
  <si>
    <r>
      <rPr>
        <b/>
        <sz val="11"/>
        <rFont val="Times New Roman"/>
        <family val="1"/>
        <charset val="186"/>
      </rPr>
      <t>Jurbarko sporto centras</t>
    </r>
    <r>
      <rPr>
        <sz val="11"/>
        <rFont val="Times New Roman"/>
        <family val="1"/>
        <charset val="186"/>
      </rPr>
      <t xml:space="preserve">
01-05-01 Jurbarko sporto centro veiklos vykdymas skatinant fizinį aktyvumą ir aukštą sportinį meistriškumą Jurbarko rajono savivaldybėje</t>
    </r>
  </si>
  <si>
    <r>
      <t xml:space="preserve">01-06 Užtikrinti gyventojų saugumą ir ekstremalių situacijų valdymą
</t>
    </r>
    <r>
      <rPr>
        <sz val="11"/>
        <rFont val="Times New Roman"/>
        <family val="1"/>
        <charset val="186"/>
      </rPr>
      <t>(koordinatorius - Patarėjas, atliekantis savivaldybės parengties pareigūno funkcijas)</t>
    </r>
  </si>
  <si>
    <r>
      <rPr>
        <b/>
        <sz val="11"/>
        <rFont val="Times New Roman"/>
        <family val="1"/>
        <charset val="186"/>
      </rPr>
      <t>Jurbarko rajono priešgaisrinė tarnyba</t>
    </r>
    <r>
      <rPr>
        <sz val="11"/>
        <rFont val="Times New Roman"/>
        <family val="1"/>
        <charset val="186"/>
      </rPr>
      <t xml:space="preserve">
01-06-01 Jurbarko rajono priešgaisrinės tarnybos veiklos užtikrinimas</t>
    </r>
  </si>
  <si>
    <r>
      <rPr>
        <b/>
        <sz val="11"/>
        <rFont val="Times New Roman"/>
        <family val="1"/>
        <charset val="186"/>
      </rPr>
      <t>Jurbarko r. savivaldybės administracija</t>
    </r>
    <r>
      <rPr>
        <sz val="11"/>
        <rFont val="Times New Roman"/>
        <family val="1"/>
        <charset val="186"/>
      </rPr>
      <t xml:space="preserve">
01-06-02 Ekstremalių situacijų valdymo stiprinimas</t>
    </r>
  </si>
  <si>
    <r>
      <t xml:space="preserve">01-07 Padidinti gyventojų įtraukimą į sprendimų priėmimą ir viešųjų poreikių tenkinimą
</t>
    </r>
    <r>
      <rPr>
        <sz val="11"/>
        <rFont val="Times New Roman"/>
        <family val="1"/>
        <charset val="186"/>
      </rPr>
      <t>(koordinatoriai - Jaunimo ir Sveikatos reikalų koordinatoriai)</t>
    </r>
  </si>
  <si>
    <r>
      <t xml:space="preserve">02-01 Pagerinti gyvenamąją aplinką
</t>
    </r>
    <r>
      <rPr>
        <sz val="11"/>
        <rFont val="Times New Roman"/>
        <family val="1"/>
        <charset val="186"/>
      </rPr>
      <t>(koordinatorius - Infrastruktūros ir turto skyriaus vedėjas)</t>
    </r>
  </si>
  <si>
    <r>
      <t xml:space="preserve">02-02 Paskatinti ekonomines veiklas
</t>
    </r>
    <r>
      <rPr>
        <sz val="11"/>
        <rFont val="Times New Roman"/>
        <family val="1"/>
        <charset val="186"/>
      </rPr>
      <t>(koordinatoriai - Žemės ūkio skyriaus vedėjas,
Investicijų ir strateginio planavimo skyriaus vedėjas)</t>
    </r>
  </si>
  <si>
    <r>
      <t xml:space="preserve">03 Efektyvaus administravimo ir finansinių išteklių valdymo programa
</t>
    </r>
    <r>
      <rPr>
        <sz val="11"/>
        <rFont val="Times New Roman"/>
        <family val="1"/>
        <charset val="186"/>
      </rPr>
      <t>(koordinatoriai - Finansų skyriaus vedėjas,
Investicijų ir strateginio planavimo skyriaus vedėjas)</t>
    </r>
  </si>
  <si>
    <r>
      <rPr>
        <b/>
        <sz val="11"/>
        <rFont val="Times New Roman"/>
        <family val="1"/>
        <charset val="186"/>
      </rPr>
      <t>Jurbarko r. savivaldybės kontrolės ir audito tarnyba</t>
    </r>
    <r>
      <rPr>
        <sz val="11"/>
        <rFont val="Times New Roman"/>
        <family val="1"/>
        <charset val="186"/>
      </rPr>
      <t xml:space="preserve">
03-01-03 Savivaldybės kontrolės ir audito tarnybos veiklos užtikrinimas</t>
    </r>
  </si>
  <si>
    <r>
      <rPr>
        <b/>
        <sz val="11"/>
        <rFont val="Times New Roman"/>
        <family val="1"/>
        <charset val="186"/>
      </rPr>
      <t>Jurbarko r. savivaldybės administracija 
(Finansų skyrius)</t>
    </r>
    <r>
      <rPr>
        <sz val="11"/>
        <rFont val="Times New Roman"/>
        <family val="1"/>
        <charset val="186"/>
      </rPr>
      <t xml:space="preserve">
03-01-04 Finansinių įsipareigojimų valdymas</t>
    </r>
  </si>
  <si>
    <t>projektui "Naujų ikimokyklinio ugdymo vietų kūrimas Jurbarko rajono savivaldybėje"</t>
  </si>
  <si>
    <t>projektui "Sveikatos priežiūros specialistų rengimas Jurbarko rajono savivaldybėje"</t>
  </si>
  <si>
    <t>projektui "Sveikatos centro veiklos modelio diegimas Jurbarko sveikatos centre"</t>
  </si>
  <si>
    <t>profesinėms šventėms ir įstaigų veiklos jubiliejams paminėti</t>
  </si>
  <si>
    <t>šeiminių namų paslaugoms teikti 
(VšĮ „Jurbarko socialinės paslaugos“)</t>
  </si>
  <si>
    <t>projektui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</si>
  <si>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projektui "Jaunimas Jaunimui - Hajnuvkos ir Jurbarko muzikos ir sporto integracija"</t>
  </si>
  <si>
    <t>JURBARKO RAJONO SAVIVALDYBĖS 2026 METŲ BIUDŽETO ASIGNAVIMŲ PLANAS</t>
  </si>
  <si>
    <t>viešųjų želdynų ir želdinių sodinimas, priežiūra ir tvarkymas</t>
  </si>
  <si>
    <t>futbolo klubo "Jurbarko Imsrė" dalyvavimo LFF organizuojamuose čempionatuose išlaidoms iš dalies finansuoti</t>
  </si>
  <si>
    <t>Bendrųjų ir socialinės priežiūros paslaugų administravimo veiklų užtikrinimas 
(VšĮ „Jurbarko socialinės paslaugos“)</t>
  </si>
  <si>
    <t xml:space="preserve">bendro naudojimo infrastruktūros objektų priežiūros ir plėtros darbai </t>
  </si>
  <si>
    <t>projekui "Ilgalaikės priežiūros paslaugų plėtra Jurbarko  rajono savivaldybėje" finansuoti</t>
  </si>
  <si>
    <t>projektui „Užsienio kilmės Lietuvos gyventojų integracijos procesų koordinavimo plėtra Lietuvos Respublikos savivaldybėse"
projektui „Jurbarkas visiems: pagalba ir integracija“</t>
  </si>
  <si>
    <t>2025-12-31 patikslintas planas (duomenys iš FVS)</t>
  </si>
  <si>
    <t>2025 m. vykdymas (duomenys iš FVS)</t>
  </si>
  <si>
    <r>
      <rPr>
        <b/>
        <sz val="11"/>
        <rFont val="Times New Roman"/>
        <family val="1"/>
        <charset val="186"/>
      </rPr>
      <t>Vinco Grybo memorialinis muziejus</t>
    </r>
    <r>
      <rPr>
        <sz val="11"/>
        <rFont val="Times New Roman"/>
        <family val="1"/>
        <charset val="186"/>
      </rPr>
      <t xml:space="preserve">
01-04-09 Meno palikimo išsaugojimo ir kūrybos iniciatyvų įgyvendinimas Vinco Grybo memorialiniame muziejuje</t>
    </r>
  </si>
  <si>
    <t>35 v su neg arba SUP, 287 kiti v</t>
  </si>
  <si>
    <t>SB lėšos šeimos konferencijai ir kt soc pasl</t>
  </si>
  <si>
    <t>SB-60 žm(25,90*60*12)</t>
  </si>
  <si>
    <t>1žm pagalba į namus pinigais</t>
  </si>
  <si>
    <t>ilgalaikei socialinei globai (asmenų apgyvendinimas specializuotose įstaigose) ir kitoms akredituotoms socialinės priežiūros paslaugoms</t>
  </si>
  <si>
    <t>palaikų pervežimo išlaidoms dengti ir kitoms laidojimo paslaugoms apmokėti, kai laidojimą organizuoja savivaldybė</t>
  </si>
  <si>
    <t xml:space="preserve">mažėja, nes didesnei daliai šeimų teikiamas apgyvendinimas savarankiško gyv n (finansuojama iš kt.eilutės), o ne krizių įveikimas </t>
  </si>
  <si>
    <t>2025-10-30 T2-258 sav įsipareigoja laidoti vienišus asmenis ir pervežti palaikus, apmokėti ekspertizę ir pan.</t>
  </si>
  <si>
    <t>bus skaičiuojamos papildomos kompensacijos JRST spr. 2025-11-27 Nr. T2-284</t>
  </si>
  <si>
    <t>prisidėjimas prie Soc. būstų pirkimo 30685, soc. būstų remontui 10000</t>
  </si>
  <si>
    <t>2026-01-15 raštas Nr.F26-20; Neįtraukta automobilių aikštelė 115578 Eur</t>
  </si>
  <si>
    <t>2025-11-20 raštas Nr.T25-964, neįtraukta med.automobilis 110000 Eur</t>
  </si>
  <si>
    <t>2025-12-18 Nr.T25-1016</t>
  </si>
  <si>
    <t>Automobilių aikštelių remonto darbai</t>
  </si>
  <si>
    <t xml:space="preserve">Nefinansuojami iš KPPP </t>
  </si>
  <si>
    <t>2026-01-09 raštas Nr.F26-8 Jurb autob park</t>
  </si>
  <si>
    <t>Moksleivių ekologinio švietimo programa, 1 mok. -10 eur/1 val.</t>
  </si>
  <si>
    <t xml:space="preserve">Knygnešių ir ŠiaurėsTP - 41 624; </t>
  </si>
  <si>
    <t xml:space="preserve">gatvių apšvietimas priežiūra 250 000, gatvių apšvietimas plėtrai 50 000, šviesaforo atnaujinimas 50 000, linijų atnaujinimui - 50 000, </t>
  </si>
  <si>
    <t xml:space="preserve">Energinio naudingumo nustatymas - 20000; Jurbarko r. šilumos ūkio spec. planas 30 250, </t>
  </si>
  <si>
    <t xml:space="preserve">Cerkvės pastato TDP – 29 848; Veliuonos Švč. M. Marijos Ėmimo į dangų bažnyčios didžiojo altoriaus konservavimo, restauravimo darbams – 5 000, Jurbarko piliakalnio su gyvenviete piliakalnio vad. Bišpiliu archeologiniai tyrimai – 10 000 ir laiptų įrengimas – 15 000; Jurbarko dvaro parko dalies tvoros (u. k. 28047) statinio tvarkybos darbų projektas 10 000; </t>
  </si>
  <si>
    <t>2025-12-18 Nr.R1-3263</t>
  </si>
  <si>
    <t xml:space="preserve">sąsk. lik 11743+30200 </t>
  </si>
  <si>
    <t>Sąsk.lik. 99081+ planas 60000, Viso 159081</t>
  </si>
  <si>
    <t>6 lentelė</t>
  </si>
  <si>
    <t>2 projektai užsieniečiams: 
3882+6000
38544+2261</t>
  </si>
  <si>
    <t>seniūnijų remonto, inventoriaus įsigijimo išlaidoms</t>
  </si>
  <si>
    <t>vandentiekio ir nuotekų tinklų, vandens gerinimo įrenginių rekonstrukcija ir įrengimas</t>
  </si>
  <si>
    <t xml:space="preserve">Investicijos į šilumos ūkio modernizavimą </t>
  </si>
  <si>
    <t>socialinio verslo ir viešųjų paslaugų projektų finansavimas</t>
  </si>
  <si>
    <t>pedagogų ir švietimo pagalbos specialistų studijoms finansuoti</t>
  </si>
  <si>
    <t>pedagogų kelionės išlaidoms iš dalies kompensuoti</t>
  </si>
  <si>
    <t>projektui "Sociokultūrinių paslaugų gyventojams prieinamumo užtikrinimas Raudonės bei Juodaičių gyvenvietėse"</t>
  </si>
  <si>
    <t>205000 pagalbos pinigai, 280000 atlygis BG, 30000 šeimynoms</t>
  </si>
  <si>
    <t>Ilg soc gl 1100000, nes didėjo kainos, 250000 soc.priež.pasl (apgyv.sav.gyv.n 120, apsaug.b. 30, samar.pag.į.n. 150, kitos pasl 50)</t>
  </si>
  <si>
    <t>TRATC raštas 2025-10-31 Nr.R1-5.19-2782</t>
  </si>
  <si>
    <t xml:space="preserve">Šimkaič ambulator 25 m.- 1000 Eur, Medikų diena-1000 Eur, Asmenų su negalia tarpt.diena-2000 Eur </t>
  </si>
  <si>
    <t>Dainų šventė Šilalėje - 16000, Moksleiv. dainų šventė -5000, Taut. kostiumai ir instrumentai-5000</t>
  </si>
  <si>
    <t>projektų dalinis finans.-40000 Eur, Jurb krašto šventė - 43000 Eur, Sav. paskelbti metai-15000 Eur, Sidabr. Gervės naktys- 2000 Eur, Džiazo dienos Tauragėje" Smalininkai-1500 Eur, Kauno Jazz-1500 Eur.</t>
  </si>
  <si>
    <r>
      <t>Žemės sklypų paženklinimo ir kadastro duomenų bylos -</t>
    </r>
    <r>
      <rPr>
        <b/>
        <sz val="10"/>
        <rFont val="Times New Roman"/>
        <family val="1"/>
        <charset val="186"/>
      </rPr>
      <t>15000</t>
    </r>
    <r>
      <rPr>
        <sz val="10"/>
        <rFont val="Times New Roman"/>
        <family val="1"/>
        <charset val="186"/>
      </rPr>
      <t>; TP ekspertizės -</t>
    </r>
    <r>
      <rPr>
        <b/>
        <sz val="10"/>
        <rFont val="Times New Roman"/>
        <family val="1"/>
        <charset val="186"/>
      </rPr>
      <t xml:space="preserve"> 60000</t>
    </r>
    <r>
      <rPr>
        <sz val="10"/>
        <rFont val="Times New Roman"/>
        <family val="1"/>
        <charset val="186"/>
      </rPr>
      <t xml:space="preserve">; Ekspertų paslaugos - </t>
    </r>
    <r>
      <rPr>
        <b/>
        <sz val="10"/>
        <rFont val="Times New Roman"/>
        <family val="1"/>
        <charset val="186"/>
      </rPr>
      <t>18000</t>
    </r>
    <r>
      <rPr>
        <sz val="10"/>
        <rFont val="Times New Roman"/>
        <family val="1"/>
        <charset val="186"/>
      </rPr>
      <t>; Kadastrinių matavimų bylų keliams, statiniams( bus įgyvendinta dalis RPT projektų, reiks bytų)</t>
    </r>
    <r>
      <rPr>
        <b/>
        <sz val="10"/>
        <rFont val="Times New Roman"/>
        <family val="1"/>
        <charset val="186"/>
      </rPr>
      <t>20000</t>
    </r>
    <r>
      <rPr>
        <sz val="10"/>
        <rFont val="Times New Roman"/>
        <family val="1"/>
        <charset val="186"/>
      </rPr>
      <t>;Topografinių nuotraukų -</t>
    </r>
    <r>
      <rPr>
        <b/>
        <sz val="10"/>
        <rFont val="Times New Roman"/>
        <family val="1"/>
        <charset val="186"/>
      </rPr>
      <t>6000</t>
    </r>
    <r>
      <rPr>
        <sz val="10"/>
        <rFont val="Times New Roman"/>
        <family val="1"/>
        <charset val="186"/>
      </rPr>
      <t xml:space="preserve">; Turto vertinimas -  </t>
    </r>
    <r>
      <rPr>
        <b/>
        <sz val="10"/>
        <rFont val="Times New Roman"/>
        <family val="1"/>
        <charset val="186"/>
      </rPr>
      <t>12000(9 butai)+ 5000;</t>
    </r>
  </si>
  <si>
    <t>3 (trijų) Vydūno g. pėsčiųjų perėjų remontas- 60000; sankryžos rekonstvavimas D. ir G. /Vytauto D. - 45000;</t>
  </si>
  <si>
    <r>
      <t>kelių ir gatvių inventorizavimas-</t>
    </r>
    <r>
      <rPr>
        <b/>
        <sz val="10"/>
        <rFont val="Times New Roman"/>
        <family val="1"/>
        <charset val="186"/>
      </rPr>
      <t>15000</t>
    </r>
    <r>
      <rPr>
        <sz val="10"/>
        <rFont val="Times New Roman"/>
        <family val="1"/>
        <charset val="186"/>
      </rPr>
      <t>; Pilies sodo 1-os g., Jurbarko m.-</t>
    </r>
    <r>
      <rPr>
        <b/>
        <sz val="10"/>
        <rFont val="Times New Roman"/>
        <family val="1"/>
        <charset val="186"/>
      </rPr>
      <t xml:space="preserve"> 95000</t>
    </r>
    <r>
      <rPr>
        <sz val="10"/>
        <rFont val="Times New Roman"/>
        <family val="1"/>
        <charset val="186"/>
      </rPr>
      <t xml:space="preserve">; Jurbarko m. Rūtų g. - </t>
    </r>
    <r>
      <rPr>
        <b/>
        <sz val="10"/>
        <rFont val="Times New Roman"/>
        <family val="1"/>
        <charset val="186"/>
      </rPr>
      <t>80000</t>
    </r>
    <r>
      <rPr>
        <sz val="10"/>
        <rFont val="Times New Roman"/>
        <family val="1"/>
        <charset val="186"/>
      </rPr>
      <t xml:space="preserve">; Jurbarko m. Dainių g. TP - </t>
    </r>
    <r>
      <rPr>
        <b/>
        <sz val="10"/>
        <rFont val="Times New Roman"/>
        <family val="1"/>
        <charset val="186"/>
      </rPr>
      <t>25000</t>
    </r>
    <r>
      <rPr>
        <sz val="10"/>
        <rFont val="Times New Roman"/>
        <family val="1"/>
        <charset val="186"/>
      </rPr>
      <t>; J. Banaičio g. dalies Jurbarko m.-</t>
    </r>
    <r>
      <rPr>
        <b/>
        <sz val="10"/>
        <rFont val="Times New Roman"/>
        <family val="1"/>
        <charset val="186"/>
      </rPr>
      <t>53000</t>
    </r>
    <r>
      <rPr>
        <sz val="10"/>
        <rFont val="Times New Roman"/>
        <family val="1"/>
        <charset val="186"/>
      </rPr>
      <t xml:space="preserve">; kvartalas tarp Gedimino, Žemaitės, Kęstučio ir Algirdo gatvių - </t>
    </r>
    <r>
      <rPr>
        <b/>
        <sz val="10"/>
        <rFont val="Times New Roman"/>
        <family val="1"/>
        <charset val="186"/>
      </rPr>
      <t>570000</t>
    </r>
    <r>
      <rPr>
        <sz val="10"/>
        <rFont val="Times New Roman"/>
        <family val="1"/>
        <charset val="186"/>
      </rPr>
      <t>; Pasnietalio g., Raudonės sen. kap.remontas -</t>
    </r>
    <r>
      <rPr>
        <b/>
        <sz val="10"/>
        <rFont val="Times New Roman"/>
        <family val="1"/>
        <charset val="186"/>
      </rPr>
      <t>397894</t>
    </r>
    <r>
      <rPr>
        <sz val="10"/>
        <rFont val="Times New Roman"/>
        <family val="1"/>
        <charset val="186"/>
      </rPr>
      <t xml:space="preserve">; Logupio g., Vadžgirio, Šimkaičių sen. kap. remontas - </t>
    </r>
    <r>
      <rPr>
        <b/>
        <sz val="10"/>
        <rFont val="Times New Roman"/>
        <family val="1"/>
        <charset val="186"/>
      </rPr>
      <t>239366</t>
    </r>
    <r>
      <rPr>
        <sz val="10"/>
        <rFont val="Times New Roman"/>
        <family val="1"/>
        <charset val="186"/>
      </rPr>
      <t xml:space="preserve">; Pr. Mikutaičio g., Gedžių k., Jurbarkų sen.- </t>
    </r>
    <r>
      <rPr>
        <b/>
        <sz val="10"/>
        <rFont val="Times New Roman"/>
        <family val="1"/>
        <charset val="186"/>
      </rPr>
      <t>95000</t>
    </r>
    <r>
      <rPr>
        <sz val="10"/>
        <rFont val="Times New Roman"/>
        <family val="1"/>
        <charset val="186"/>
      </rPr>
      <t>, Šešuvies g., Varlaukio k., Eržvilko sen.-</t>
    </r>
    <r>
      <rPr>
        <b/>
        <sz val="10"/>
        <rFont val="Times New Roman"/>
        <family val="1"/>
        <charset val="186"/>
      </rPr>
      <t>290000</t>
    </r>
    <r>
      <rPr>
        <sz val="10"/>
        <rFont val="Times New Roman"/>
        <family val="1"/>
        <charset val="186"/>
      </rPr>
      <t xml:space="preserve">; Kelių priežiūra, žvyravimas, greideriavimas-219073 </t>
    </r>
  </si>
  <si>
    <r>
      <t xml:space="preserve">29 esamų kamerų keitimas -17 135, metinė priežiūra – 13 572 bei du papildomi vaizdo įrašymo įrenginiai ir vieno kieto disko vaizdo įrašams kaupti - 1018,10. Iš viso:  31 725. 
19 naujų kamerų įrengimas - 18 260, jų metinė priežiūra – 8892 Iš viso: 27 152; </t>
    </r>
    <r>
      <rPr>
        <b/>
        <sz val="10"/>
        <rFont val="Times New Roman"/>
        <family val="1"/>
        <charset val="186"/>
      </rPr>
      <t>Papildomai 41123</t>
    </r>
  </si>
  <si>
    <t>931500+25000 Jaunimo parko fontano elektros dalies renovacija</t>
  </si>
  <si>
    <t>4492141 - 30000 programa SB projekto - 10000 kavos aparatai +1002 būsto pritaikymo neįgaliesiems administravimas (VB lėšos)</t>
  </si>
  <si>
    <t>2026 m. (1585930+212614) 1 798 544 Eur (aišk.rašto 8 lentelė)
Žaliasis regionas 11708 Eur: raštas 2025-12-18 Nr.R1-5.19-3264</t>
  </si>
  <si>
    <t>Aišk.rašto 7 lentelė</t>
  </si>
  <si>
    <t>2026-01-23 raštas Nr.R1-5.19-199</t>
  </si>
  <si>
    <t>56487 - JSP dializės
3000 - samariečiai
3000 - neįgalieji
neskirta Jurbarko neįgaliųjų draugijos automobiliui 
(2025-01-15 raštas Nr.T25-55)</t>
  </si>
  <si>
    <t>2026-01-20 Nr.T25-73 Policijos raštas</t>
  </si>
  <si>
    <t>30000 - labdaros valgyklai (2025-11-24 raštas Nr.T25-975)
4000 - maisto bankui (2025-12-22 raštas Nr.5.22-3300)</t>
  </si>
  <si>
    <t>2026-01-08 raštas Nr.T25-23</t>
  </si>
  <si>
    <t>2025-12-30 raštas Nr.T25-1058 viso 72835,80 Eur</t>
  </si>
  <si>
    <t>66550 - Jurbarko ligoninė
18000 - JPSPC
5400 - Šimkaičių ambulat.</t>
  </si>
  <si>
    <t>17000 - Jurbarko soc.paslaugos
11800 - Seredžiaus senelių n.</t>
  </si>
  <si>
    <t>bešeimininkės atliekos  -60000 ; medžioklės plotų planai-10000; pantoninės prieplaukos - 10000; griaunami pastatai - 10000, Klausučių tvenkonio pakrančių sutvarkymas - 10000; Darželio griovimo darbai- 50000;
Sąsk. likut 49814+planas 57800, viso 107614 +SB</t>
  </si>
  <si>
    <t>Jurbarko vandenys 2025-12-10 Nr.R1-5.19-3156,be projektų</t>
  </si>
  <si>
    <t>dvi pantoninės prieplaukos 10 000, 2 (dvi) vaikų žaidimo aikštelės 50 000</t>
  </si>
  <si>
    <t>367660 - DU
113340 - inf.technologijoms (iš jų 105000 - posėdžių salės e-balsavimo sistema)
12000 - reprezentacijai
33000 - kitos išl. (iš jų 17032 - LSA mokestis, turi būti 0,03% patvirtinto SB išlaidų)</t>
  </si>
  <si>
    <t>PASTABOS</t>
  </si>
  <si>
    <t>paviršinių nuotekų infrastruktūros plėtra Jurbarko mieste</t>
  </si>
  <si>
    <r>
      <t xml:space="preserve">„Nykštukas“ pastato apšiltinimo TP - </t>
    </r>
    <r>
      <rPr>
        <b/>
        <sz val="10"/>
        <rFont val="Times New Roman"/>
        <family val="1"/>
        <charset val="186"/>
      </rPr>
      <t>66 550</t>
    </r>
    <r>
      <rPr>
        <sz val="10"/>
        <rFont val="Times New Roman"/>
        <family val="1"/>
        <charset val="186"/>
      </rPr>
      <t>; „Ąžuoliuko“ mokyklos TP -</t>
    </r>
    <r>
      <rPr>
        <b/>
        <sz val="10"/>
        <rFont val="Times New Roman"/>
        <family val="1"/>
        <charset val="186"/>
      </rPr>
      <t xml:space="preserve"> 83 490</t>
    </r>
    <r>
      <rPr>
        <sz val="10"/>
        <rFont val="Times New Roman"/>
        <family val="1"/>
        <charset val="186"/>
      </rPr>
      <t>; Vytauto Didžiojo g. 53A TP -</t>
    </r>
    <r>
      <rPr>
        <b/>
        <sz val="10"/>
        <rFont val="Times New Roman"/>
        <family val="1"/>
        <charset val="186"/>
      </rPr>
      <t>113 740</t>
    </r>
    <r>
      <rPr>
        <sz val="10"/>
        <rFont val="Times New Roman"/>
        <family val="1"/>
        <charset val="186"/>
      </rPr>
      <t xml:space="preserve">; Jurbarko m. bendrojo plano koregavimas </t>
    </r>
    <r>
      <rPr>
        <b/>
        <sz val="10"/>
        <rFont val="Times New Roman"/>
        <family val="1"/>
        <charset val="186"/>
      </rPr>
      <t>35000</t>
    </r>
    <r>
      <rPr>
        <sz val="10"/>
        <rFont val="Times New Roman"/>
        <family val="1"/>
        <charset val="186"/>
      </rPr>
      <t xml:space="preserve">, Geriamojo vandens ir nuotekų tvarkymo infrastruktūros plėtros plano koregavimas 33275, </t>
    </r>
    <r>
      <rPr>
        <sz val="10"/>
        <rFont val="Times New Roman"/>
        <family val="1"/>
        <charset val="186"/>
      </rPr>
      <t xml:space="preserve">Savivaldybės šilumos ūkio specialusis planas -30000; Barkūnų gatvės 33, 42, 44, 70 žemės sklypais, detaliojo plano koregavimas -7260; „Vartai į regioną“ TDP-10000; </t>
    </r>
    <r>
      <rPr>
        <b/>
        <sz val="10"/>
        <rFont val="Times New Roman"/>
        <family val="1"/>
        <charset val="186"/>
      </rPr>
      <t>Gimnazijos stadiono atnaujinimo projektas - 50000; Smalininkų uosto projektas-20000</t>
    </r>
  </si>
  <si>
    <r>
      <rPr>
        <b/>
        <sz val="11"/>
        <rFont val="Times New Roman"/>
        <family val="1"/>
        <charset val="186"/>
      </rPr>
      <t>Jurbarko r. savivaldybės administracija</t>
    </r>
    <r>
      <rPr>
        <sz val="11"/>
        <rFont val="Times New Roman"/>
        <family val="1"/>
        <charset val="186"/>
      </rPr>
      <t xml:space="preserve">
01-06-03 Pasirengimo mobilizacijai, demobilizacijai ir priimančiosios šalies paramai teikti užtikrinimas</t>
    </r>
  </si>
  <si>
    <t>valstybinių mobilizacinių užduočių vykdymui</t>
  </si>
  <si>
    <t xml:space="preserve">mobilizaciniams mokymams </t>
  </si>
  <si>
    <t>41.1</t>
  </si>
  <si>
    <t>41.2</t>
  </si>
  <si>
    <t>41.3</t>
  </si>
  <si>
    <t>44.1</t>
  </si>
  <si>
    <t>44.2</t>
  </si>
  <si>
    <t>44.6</t>
  </si>
  <si>
    <t>44.7</t>
  </si>
  <si>
    <t>44.3</t>
  </si>
  <si>
    <t>44.4</t>
  </si>
  <si>
    <t>44.5</t>
  </si>
  <si>
    <t>46.1</t>
  </si>
  <si>
    <t>46.2</t>
  </si>
  <si>
    <t>46.3</t>
  </si>
  <si>
    <t>49.1</t>
  </si>
  <si>
    <t>49.2</t>
  </si>
  <si>
    <t>52.1</t>
  </si>
  <si>
    <t>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</si>
</sst>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imes New Roman"/>
      <family val="2"/>
      <charset val="186"/>
    </font>
    <font>
      <sz val="11"/>
      <name val="Times New Roman"/>
      <family val="1"/>
      <charset val="186"/>
    </font>
    <font>
      <b/>
      <sz val="11"/>
      <name val="Times New Roman"/>
      <family val="1"/>
      <charset val="186"/>
    </font>
    <font>
      <sz val="12"/>
      <name val="Times New Roman"/>
      <family val="1"/>
      <charset val="186"/>
    </font>
    <font>
      <sz val="8"/>
      <name val="Times New Roman"/>
      <family val="2"/>
      <charset val="186"/>
    </font>
    <font>
      <sz val="9"/>
      <color indexed="81"/>
      <name val="Tahoma"/>
      <family val="2"/>
      <charset val="186"/>
    </font>
    <font>
      <b/>
      <sz val="9"/>
      <color indexed="81"/>
      <name val="Tahoma"/>
      <family val="2"/>
      <charset val="186"/>
    </font>
    <font>
      <sz val="9"/>
      <color indexed="81"/>
      <name val="Tahoma"/>
      <charset val="1"/>
    </font>
    <font>
      <b/>
      <sz val="9"/>
      <color indexed="81"/>
      <name val="Tahoma"/>
      <charset val="1"/>
    </font>
    <font>
      <sz val="11"/>
      <color rgb="FFFF0000"/>
      <name val="Times New Roman"/>
      <family val="1"/>
      <charset val="186"/>
    </font>
    <font>
      <sz val="11"/>
      <color rgb="FF00B050"/>
      <name val="Times New Roman"/>
      <family val="1"/>
      <charset val="186"/>
    </font>
    <font>
      <sz val="10"/>
      <color rgb="FF00B050"/>
      <name val="Times New Roman"/>
      <family val="1"/>
      <charset val="186"/>
    </font>
    <font>
      <sz val="10"/>
      <color rgb="FFFF0000"/>
      <name val="Times New Roman"/>
      <family val="1"/>
      <charset val="186"/>
    </font>
    <font>
      <sz val="10"/>
      <name val="Times New Roman"/>
      <family val="1"/>
      <charset val="186"/>
    </font>
    <font>
      <b/>
      <sz val="10"/>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xf numFmtId="0" fontId="2" fillId="0" borderId="0" xfId="0" applyFont="1"/>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0" xfId="0" applyFont="1" applyAlignment="1">
      <alignment vertical="center"/>
    </xf>
    <xf numFmtId="0" fontId="1" fillId="0" borderId="2" xfId="0" applyFont="1" applyBorder="1"/>
    <xf numFmtId="0" fontId="2" fillId="2" borderId="1" xfId="0" applyFont="1" applyFill="1" applyBorder="1" applyAlignment="1">
      <alignment vertical="center"/>
    </xf>
    <xf numFmtId="0" fontId="2" fillId="3" borderId="1" xfId="0" applyFont="1" applyFill="1" applyBorder="1" applyAlignment="1">
      <alignment vertical="center"/>
    </xf>
    <xf numFmtId="0" fontId="1" fillId="0" borderId="0" xfId="0" applyFont="1" applyAlignment="1">
      <alignment horizontal="left"/>
    </xf>
    <xf numFmtId="0" fontId="2" fillId="3" borderId="1" xfId="0" applyFont="1" applyFill="1" applyBorder="1" applyAlignment="1">
      <alignment horizontal="left" vertical="center"/>
    </xf>
    <xf numFmtId="0" fontId="2" fillId="2" borderId="1" xfId="0" applyFont="1" applyFill="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xf>
    <xf numFmtId="0" fontId="1" fillId="0" borderId="1" xfId="0" applyFont="1" applyBorder="1"/>
    <xf numFmtId="0" fontId="2" fillId="0" borderId="1" xfId="0" applyFont="1" applyBorder="1"/>
    <xf numFmtId="0" fontId="1" fillId="0" borderId="1" xfId="0" applyFont="1" applyBorder="1" applyAlignment="1">
      <alignment wrapText="1"/>
    </xf>
    <xf numFmtId="0" fontId="2" fillId="3" borderId="1" xfId="0" applyFont="1" applyFill="1" applyBorder="1" applyAlignment="1">
      <alignment horizontal="left"/>
    </xf>
    <xf numFmtId="0" fontId="2" fillId="3" borderId="1" xfId="0" applyFont="1" applyFill="1" applyBorder="1"/>
    <xf numFmtId="0" fontId="1" fillId="0" borderId="1" xfId="0" applyFont="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vertical="center"/>
    </xf>
    <xf numFmtId="0" fontId="2" fillId="4" borderId="1" xfId="0" applyFont="1" applyFill="1" applyBorder="1" applyAlignment="1">
      <alignment vertical="center"/>
    </xf>
    <xf numFmtId="0" fontId="1"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2" fillId="3" borderId="1" xfId="0" applyFont="1" applyFill="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1" fillId="4" borderId="1"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9" fillId="0" borderId="0" xfId="0" applyFont="1" applyAlignment="1">
      <alignment vertical="top"/>
    </xf>
    <xf numFmtId="0" fontId="10" fillId="0" borderId="0" xfId="0" applyFont="1"/>
    <xf numFmtId="0" fontId="10" fillId="0" borderId="0" xfId="0" applyFont="1" applyAlignment="1">
      <alignment wrapText="1"/>
    </xf>
    <xf numFmtId="0" fontId="11" fillId="0" borderId="1" xfId="0" applyFont="1" applyBorder="1" applyAlignment="1">
      <alignment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9" fillId="0" borderId="0" xfId="0" applyFont="1" applyAlignment="1">
      <alignment wrapText="1"/>
    </xf>
    <xf numFmtId="3" fontId="1" fillId="4" borderId="1" xfId="0" applyNumberFormat="1" applyFont="1" applyFill="1" applyBorder="1" applyAlignment="1">
      <alignment vertical="center"/>
    </xf>
    <xf numFmtId="0" fontId="13" fillId="0" borderId="1" xfId="0" applyFont="1" applyBorder="1" applyAlignment="1">
      <alignment wrapText="1"/>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1" fillId="4" borderId="1" xfId="0" applyFont="1" applyFill="1" applyBorder="1" applyAlignment="1">
      <alignment horizontal="right" vertical="center"/>
    </xf>
    <xf numFmtId="0" fontId="13" fillId="0" borderId="0" xfId="0" applyFont="1"/>
    <xf numFmtId="0" fontId="13" fillId="0" borderId="0" xfId="0" applyFont="1" applyAlignment="1">
      <alignment vertical="center"/>
    </xf>
    <xf numFmtId="0" fontId="13" fillId="0" borderId="1" xfId="0" applyFont="1" applyBorder="1"/>
    <xf numFmtId="0" fontId="13" fillId="0" borderId="1" xfId="0" applyFont="1" applyBorder="1" applyAlignment="1">
      <alignment vertical="top" wrapText="1"/>
    </xf>
    <xf numFmtId="0" fontId="11" fillId="0" borderId="1" xfId="0" applyFont="1" applyBorder="1"/>
    <xf numFmtId="0" fontId="12" fillId="0" borderId="1" xfId="0" applyFont="1" applyBorder="1" applyAlignment="1">
      <alignment vertical="top" wrapText="1"/>
    </xf>
    <xf numFmtId="0" fontId="13" fillId="0" borderId="1" xfId="0" applyFont="1" applyBorder="1" applyAlignment="1">
      <alignment vertical="center" wrapText="1"/>
    </xf>
    <xf numFmtId="0" fontId="13" fillId="0" borderId="1" xfId="0" applyFont="1" applyBorder="1" applyAlignment="1">
      <alignment vertical="center"/>
    </xf>
    <xf numFmtId="0" fontId="11" fillId="0" borderId="1" xfId="0" applyFont="1" applyBorder="1" applyAlignment="1">
      <alignment vertical="center"/>
    </xf>
    <xf numFmtId="0" fontId="13" fillId="0" borderId="1" xfId="0" applyFont="1" applyBorder="1" applyAlignment="1">
      <alignment horizontal="left" wrapText="1"/>
    </xf>
    <xf numFmtId="0" fontId="1" fillId="4" borderId="1" xfId="0" applyFont="1" applyFill="1" applyBorder="1"/>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2</xdr:col>
      <xdr:colOff>860400</xdr:colOff>
      <xdr:row>121</xdr:row>
      <xdr:rowOff>203614</xdr:rowOff>
    </xdr:from>
    <xdr:to>
      <xdr:col>2</xdr:col>
      <xdr:colOff>0</xdr:colOff>
      <xdr:row>121</xdr:row>
      <xdr:rowOff>203974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Rankraštį 1">
              <a:extLst>
                <a:ext uri="{FF2B5EF4-FFF2-40B4-BE49-F238E27FC236}">
                  <a16:creationId xmlns:a16="http://schemas.microsoft.com/office/drawing/2014/main" id="{E79DFEFF-FFB2-3D32-D08D-BD2524385E0B}"/>
                </a:ext>
              </a:extLst>
            </xdr14:cNvPr>
            <xdr14:cNvContentPartPr/>
          </xdr14:nvContentPartPr>
          <xdr14:nvPr macro=""/>
          <xdr14:xfrm>
            <a:off x="4280933" y="58716747"/>
            <a:ext cx="360" cy="360"/>
          </xdr14:xfrm>
        </xdr:contentPart>
      </mc:Choice>
      <mc:Fallback xmlns="">
        <xdr:pic>
          <xdr:nvPicPr>
            <xdr:cNvPr id="2" name="Rankraštį 1">
              <a:extLst>
                <a:ext uri="{FF2B5EF4-FFF2-40B4-BE49-F238E27FC236}">
                  <a16:creationId xmlns:a16="http://schemas.microsoft.com/office/drawing/2014/main" id="{E79DFEFF-FFB2-3D32-D08D-BD2524385E0B}"/>
                </a:ext>
              </a:extLst>
            </xdr:cNvPr>
            <xdr:cNvPicPr/>
          </xdr:nvPicPr>
          <xdr:blipFill>
            <a:blip xmlns:r="http://schemas.openxmlformats.org/officeDocument/2006/relationships" r:embed="rId2"/>
            <a:stretch>
              <a:fillRect/>
            </a:stretch>
          </xdr:blipFill>
          <xdr:spPr>
            <a:xfrm>
              <a:off x="4276253" y="58711707"/>
              <a:ext cx="10080" cy="1008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1-25T16:12:23.304"/>
    </inkml:context>
    <inkml:brush xml:id="br0">
      <inkml:brushProperty name="width" value="0.028" units="cm"/>
      <inkml:brushProperty name="height" value="0.028" units="cm"/>
      <inkml:brushProperty name="ignorePressure" value="1"/>
    </inkml:brush>
  </inkml:definitions>
  <inkml:trace contextRef="#ctx0" brushRef="#br0">1 0,'0'0</inkml:trace>
</inkml:ink>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B2556-DAFB-4738-9FFD-248503FFD4DC}">
  <sheetPr>
    <pageSetUpPr fitToPage="1"/>
  </sheetPr>
  <dimension ref="A1:O258"/>
  <sheetViews>
    <sheetView tabSelected="1" zoomScaleNormal="100" workbookViewId="0">
      <pane xSplit="2" ySplit="7" topLeftCell="C248" activePane="bottomRight" state="frozen"/>
      <selection pane="topRight" activeCell="C1" sqref="C1"/>
      <selection pane="bottomLeft" activeCell="A11" sqref="A11"/>
      <selection pane="bottomRight" activeCell="A248" sqref="A248"/>
    </sheetView>
  </sheetViews>
  <sheetFormatPr defaultColWidth="9.109375" defaultRowHeight="13.8" x14ac:dyDescent="0.25"/>
  <cols>
    <col min="1" max="1" width="8.109375" style="12" customWidth="1"/>
    <col min="2" max="2" width="41.6640625" style="1" customWidth="1"/>
    <col min="3" max="3" width="18.33203125" style="1" hidden="1" customWidth="1"/>
    <col min="4" max="4" width="19" style="1" hidden="1" customWidth="1"/>
    <col min="5" max="12" width="15.33203125" style="1" customWidth="1"/>
    <col min="13" max="13" width="1.6640625" style="1" customWidth="1"/>
    <col min="14" max="14" width="56.33203125" style="45" customWidth="1"/>
    <col min="15" max="15" width="21.109375" style="1" customWidth="1"/>
    <col min="16" max="16384" width="9.109375" style="1"/>
  </cols>
  <sheetData>
    <row r="1" spans="1:14" x14ac:dyDescent="0.25">
      <c r="L1" s="1" t="s">
        <v>268</v>
      </c>
    </row>
    <row r="2" spans="1:14" x14ac:dyDescent="0.25">
      <c r="C2" s="2"/>
      <c r="D2" s="2"/>
    </row>
    <row r="3" spans="1:14" ht="30.75" customHeight="1" x14ac:dyDescent="0.25">
      <c r="A3" s="57" t="s">
        <v>234</v>
      </c>
      <c r="B3" s="57"/>
      <c r="C3" s="57"/>
      <c r="D3" s="57"/>
      <c r="E3" s="57"/>
      <c r="F3" s="57"/>
      <c r="G3" s="57"/>
      <c r="H3" s="57"/>
      <c r="I3" s="57"/>
      <c r="J3" s="57"/>
      <c r="K3" s="57"/>
      <c r="L3" s="57"/>
    </row>
    <row r="4" spans="1:14" x14ac:dyDescent="0.25">
      <c r="L4" s="1" t="s">
        <v>0</v>
      </c>
    </row>
    <row r="5" spans="1:14" s="4" customFormat="1" ht="20.25" customHeight="1" x14ac:dyDescent="0.25">
      <c r="A5" s="56" t="s">
        <v>131</v>
      </c>
      <c r="B5" s="56" t="s">
        <v>170</v>
      </c>
      <c r="C5" s="58" t="s">
        <v>241</v>
      </c>
      <c r="D5" s="58" t="s">
        <v>242</v>
      </c>
      <c r="E5" s="56" t="s">
        <v>1</v>
      </c>
      <c r="F5" s="56" t="s">
        <v>2</v>
      </c>
      <c r="G5" s="56"/>
      <c r="H5" s="56" t="s">
        <v>3</v>
      </c>
      <c r="I5" s="56" t="s">
        <v>4</v>
      </c>
      <c r="J5" s="56" t="s">
        <v>5</v>
      </c>
      <c r="K5" s="56" t="s">
        <v>6</v>
      </c>
      <c r="L5" s="56" t="s">
        <v>7</v>
      </c>
      <c r="N5" s="56" t="s">
        <v>303</v>
      </c>
    </row>
    <row r="6" spans="1:14" ht="82.8" x14ac:dyDescent="0.25">
      <c r="A6" s="56"/>
      <c r="B6" s="56"/>
      <c r="C6" s="59"/>
      <c r="D6" s="59"/>
      <c r="E6" s="56"/>
      <c r="F6" s="3" t="s">
        <v>8</v>
      </c>
      <c r="G6" s="3" t="s">
        <v>9</v>
      </c>
      <c r="H6" s="56"/>
      <c r="I6" s="56"/>
      <c r="J6" s="56"/>
      <c r="K6" s="56"/>
      <c r="L6" s="56"/>
      <c r="N6" s="56" t="s">
        <v>303</v>
      </c>
    </row>
    <row r="7" spans="1:14" x14ac:dyDescent="0.25">
      <c r="A7" s="22">
        <v>1</v>
      </c>
      <c r="B7" s="22">
        <v>2</v>
      </c>
      <c r="C7" s="22">
        <v>3</v>
      </c>
      <c r="D7" s="22">
        <v>4</v>
      </c>
      <c r="E7" s="22">
        <v>5</v>
      </c>
      <c r="F7" s="22">
        <v>6</v>
      </c>
      <c r="G7" s="22">
        <v>7</v>
      </c>
      <c r="H7" s="22">
        <v>8</v>
      </c>
      <c r="I7" s="22">
        <v>9</v>
      </c>
      <c r="J7" s="22">
        <v>10</v>
      </c>
      <c r="K7" s="22">
        <v>11</v>
      </c>
      <c r="L7" s="22">
        <v>12</v>
      </c>
      <c r="N7" s="47"/>
    </row>
    <row r="8" spans="1:14" x14ac:dyDescent="0.25">
      <c r="A8" s="13">
        <v>1</v>
      </c>
      <c r="B8" s="28" t="s">
        <v>138</v>
      </c>
      <c r="C8" s="28">
        <f t="shared" ref="C8:K8" si="0">C9+C35+C83+C95+C113+C124+C132</f>
        <v>41157934</v>
      </c>
      <c r="D8" s="28">
        <f t="shared" si="0"/>
        <v>39356647</v>
      </c>
      <c r="E8" s="11">
        <f t="shared" si="0"/>
        <v>23133696</v>
      </c>
      <c r="F8" s="11">
        <f t="shared" si="0"/>
        <v>3851485</v>
      </c>
      <c r="G8" s="11">
        <f t="shared" si="0"/>
        <v>13128500</v>
      </c>
      <c r="H8" s="11">
        <f t="shared" si="0"/>
        <v>1167005</v>
      </c>
      <c r="I8" s="11">
        <f t="shared" si="0"/>
        <v>1248001</v>
      </c>
      <c r="J8" s="11">
        <f t="shared" si="0"/>
        <v>506077</v>
      </c>
      <c r="K8" s="11">
        <f t="shared" si="0"/>
        <v>0</v>
      </c>
      <c r="L8" s="11">
        <f t="shared" ref="L8:L9" si="1">SUM(E8:K8)</f>
        <v>43034764</v>
      </c>
      <c r="N8" s="47"/>
    </row>
    <row r="9" spans="1:14" ht="55.2" x14ac:dyDescent="0.25">
      <c r="A9" s="14">
        <v>2</v>
      </c>
      <c r="B9" s="29" t="s">
        <v>189</v>
      </c>
      <c r="C9" s="29">
        <f>C10+C11+C12+C13+C14+C15+C16+C17+C18+C19+C20+C33+C34</f>
        <v>23065511</v>
      </c>
      <c r="D9" s="29">
        <f>D10+D11+D12+D13+D14+D15+D16+D17+D18+D19+D20+D33+D34</f>
        <v>22074491</v>
      </c>
      <c r="E9" s="10">
        <f t="shared" ref="E9:K9" si="2">E10+E11+E12+E13+E14+E15+E16+E17+E18+E19+E20+E33+E34</f>
        <v>9251652</v>
      </c>
      <c r="F9" s="10">
        <f t="shared" si="2"/>
        <v>0</v>
      </c>
      <c r="G9" s="10">
        <f t="shared" si="2"/>
        <v>13128500</v>
      </c>
      <c r="H9" s="10">
        <f t="shared" si="2"/>
        <v>511619</v>
      </c>
      <c r="I9" s="10">
        <f t="shared" si="2"/>
        <v>713080</v>
      </c>
      <c r="J9" s="10">
        <f t="shared" si="2"/>
        <v>298984</v>
      </c>
      <c r="K9" s="10">
        <f t="shared" si="2"/>
        <v>0</v>
      </c>
      <c r="L9" s="10">
        <f t="shared" si="1"/>
        <v>23903835</v>
      </c>
      <c r="N9" s="47"/>
    </row>
    <row r="10" spans="1:14" ht="72.75" customHeight="1" x14ac:dyDescent="0.25">
      <c r="A10" s="15">
        <v>3</v>
      </c>
      <c r="B10" s="7" t="s">
        <v>190</v>
      </c>
      <c r="C10" s="7">
        <v>1764399</v>
      </c>
      <c r="D10" s="7">
        <v>1731075</v>
      </c>
      <c r="E10" s="6">
        <v>1067827</v>
      </c>
      <c r="F10" s="6"/>
      <c r="G10" s="6">
        <v>663250</v>
      </c>
      <c r="H10" s="6">
        <f>9531+32013</f>
        <v>41544</v>
      </c>
      <c r="I10" s="6">
        <f>200+132560</f>
        <v>132760</v>
      </c>
      <c r="J10" s="6"/>
      <c r="K10" s="6"/>
      <c r="L10" s="5">
        <f>SUM(E10:K10)</f>
        <v>1905381</v>
      </c>
      <c r="N10" s="48"/>
    </row>
    <row r="11" spans="1:14" ht="55.2" x14ac:dyDescent="0.25">
      <c r="A11" s="15">
        <v>4</v>
      </c>
      <c r="B11" s="7" t="s">
        <v>191</v>
      </c>
      <c r="C11" s="7">
        <f>1796904-10000</f>
        <v>1786904</v>
      </c>
      <c r="D11" s="7">
        <v>1784603</v>
      </c>
      <c r="E11" s="6">
        <v>1016822</v>
      </c>
      <c r="F11" s="6"/>
      <c r="G11" s="6">
        <v>820338</v>
      </c>
      <c r="H11" s="6">
        <f>21000+9531+26811</f>
        <v>57342</v>
      </c>
      <c r="I11" s="6">
        <f>1300+127530</f>
        <v>128830</v>
      </c>
      <c r="J11" s="6"/>
      <c r="K11" s="6"/>
      <c r="L11" s="5">
        <f t="shared" ref="L11:L34" si="3">SUM(E11:K11)</f>
        <v>2023332</v>
      </c>
      <c r="N11" s="48"/>
    </row>
    <row r="12" spans="1:14" ht="55.2" x14ac:dyDescent="0.25">
      <c r="A12" s="15">
        <v>5</v>
      </c>
      <c r="B12" s="7" t="s">
        <v>192</v>
      </c>
      <c r="C12" s="7">
        <f>1069442-3160</f>
        <v>1066282</v>
      </c>
      <c r="D12" s="7">
        <v>1059678</v>
      </c>
      <c r="E12" s="6">
        <v>539500</v>
      </c>
      <c r="F12" s="6"/>
      <c r="G12" s="6">
        <v>361260</v>
      </c>
      <c r="H12" s="6">
        <f>9531+12305</f>
        <v>21836</v>
      </c>
      <c r="I12" s="6">
        <f>2670+58330</f>
        <v>61000</v>
      </c>
      <c r="J12" s="6"/>
      <c r="K12" s="6"/>
      <c r="L12" s="5">
        <f t="shared" si="3"/>
        <v>983596</v>
      </c>
      <c r="N12" s="48"/>
    </row>
    <row r="13" spans="1:14" ht="82.8" x14ac:dyDescent="0.25">
      <c r="A13" s="15">
        <v>6</v>
      </c>
      <c r="B13" s="7" t="s">
        <v>193</v>
      </c>
      <c r="C13" s="7">
        <f>1178617-13466</f>
        <v>1165151</v>
      </c>
      <c r="D13" s="7">
        <v>1176011</v>
      </c>
      <c r="E13" s="6">
        <v>450357</v>
      </c>
      <c r="F13" s="6"/>
      <c r="G13" s="6">
        <v>832260</v>
      </c>
      <c r="H13" s="6">
        <f>14297+4102</f>
        <v>18399</v>
      </c>
      <c r="I13" s="6">
        <f>3880+16370</f>
        <v>20250</v>
      </c>
      <c r="J13" s="6"/>
      <c r="K13" s="6"/>
      <c r="L13" s="5">
        <f t="shared" si="3"/>
        <v>1321266</v>
      </c>
      <c r="N13" s="48"/>
    </row>
    <row r="14" spans="1:14" ht="96.6" x14ac:dyDescent="0.25">
      <c r="A14" s="15">
        <v>7</v>
      </c>
      <c r="B14" s="7" t="s">
        <v>194</v>
      </c>
      <c r="C14" s="7">
        <f>1575443-28490</f>
        <v>1546953</v>
      </c>
      <c r="D14" s="7">
        <v>1570689</v>
      </c>
      <c r="E14" s="6">
        <v>583981</v>
      </c>
      <c r="F14" s="6"/>
      <c r="G14" s="6">
        <v>1073572</v>
      </c>
      <c r="H14" s="6">
        <f>23828+6383</f>
        <v>30211</v>
      </c>
      <c r="I14" s="6">
        <f>6990+25900</f>
        <v>32890</v>
      </c>
      <c r="J14" s="6"/>
      <c r="K14" s="6"/>
      <c r="L14" s="5">
        <f t="shared" si="3"/>
        <v>1720654</v>
      </c>
      <c r="N14" s="48"/>
    </row>
    <row r="15" spans="1:14" ht="69" x14ac:dyDescent="0.25">
      <c r="A15" s="15">
        <v>8</v>
      </c>
      <c r="B15" s="7" t="s">
        <v>195</v>
      </c>
      <c r="C15" s="7">
        <f>1666496-38880</f>
        <v>1627616</v>
      </c>
      <c r="D15" s="7">
        <v>1649636</v>
      </c>
      <c r="E15" s="6">
        <v>580600</v>
      </c>
      <c r="F15" s="6"/>
      <c r="G15" s="6">
        <v>1086783</v>
      </c>
      <c r="H15" s="6">
        <f>19062+4282</f>
        <v>23344</v>
      </c>
      <c r="I15" s="6">
        <f>3800+23360</f>
        <v>27160</v>
      </c>
      <c r="J15" s="6"/>
      <c r="K15" s="6"/>
      <c r="L15" s="5">
        <f t="shared" si="3"/>
        <v>1717887</v>
      </c>
      <c r="N15" s="48"/>
    </row>
    <row r="16" spans="1:14" ht="82.8" x14ac:dyDescent="0.25">
      <c r="A16" s="15">
        <v>9</v>
      </c>
      <c r="B16" s="7" t="s">
        <v>196</v>
      </c>
      <c r="C16" s="7">
        <f>2611913-42000-1600</f>
        <v>2568313</v>
      </c>
      <c r="D16" s="7">
        <f>2601619+1600</f>
        <v>2603219</v>
      </c>
      <c r="E16" s="6">
        <v>1251549</v>
      </c>
      <c r="F16" s="6"/>
      <c r="G16" s="6">
        <v>1393306</v>
      </c>
      <c r="H16" s="6">
        <f>4766+12705</f>
        <v>17471</v>
      </c>
      <c r="I16" s="6">
        <f>19230+860+40260</f>
        <v>60350</v>
      </c>
      <c r="J16" s="6"/>
      <c r="K16" s="6"/>
      <c r="L16" s="5">
        <f t="shared" si="3"/>
        <v>2722676</v>
      </c>
      <c r="N16" s="48"/>
    </row>
    <row r="17" spans="1:14" ht="82.8" x14ac:dyDescent="0.25">
      <c r="A17" s="15">
        <v>10</v>
      </c>
      <c r="B17" s="7" t="s">
        <v>197</v>
      </c>
      <c r="C17" s="7">
        <f>3530620-78100</f>
        <v>3452520</v>
      </c>
      <c r="D17" s="7">
        <v>3511237</v>
      </c>
      <c r="E17" s="6">
        <v>1222459</v>
      </c>
      <c r="F17" s="6"/>
      <c r="G17" s="6">
        <v>2254685</v>
      </c>
      <c r="H17" s="6">
        <f>19062+5382</f>
        <v>24444</v>
      </c>
      <c r="I17" s="6">
        <f>26000+4450+22470</f>
        <v>52920</v>
      </c>
      <c r="J17" s="6"/>
      <c r="K17" s="6"/>
      <c r="L17" s="5">
        <f t="shared" si="3"/>
        <v>3554508</v>
      </c>
      <c r="N17" s="48"/>
    </row>
    <row r="18" spans="1:14" ht="55.2" x14ac:dyDescent="0.25">
      <c r="A18" s="15">
        <v>11</v>
      </c>
      <c r="B18" s="7" t="s">
        <v>198</v>
      </c>
      <c r="C18" s="7">
        <f>2773369-12467</f>
        <v>2760902</v>
      </c>
      <c r="D18" s="7">
        <v>2765574</v>
      </c>
      <c r="E18" s="6">
        <v>731765</v>
      </c>
      <c r="F18" s="6"/>
      <c r="G18" s="6">
        <v>2352596</v>
      </c>
      <c r="H18" s="6"/>
      <c r="I18" s="6">
        <f>53630+5200</f>
        <v>58830</v>
      </c>
      <c r="J18" s="6"/>
      <c r="K18" s="6"/>
      <c r="L18" s="5">
        <f t="shared" si="3"/>
        <v>3143191</v>
      </c>
      <c r="N18" s="48"/>
    </row>
    <row r="19" spans="1:14" ht="69" x14ac:dyDescent="0.25">
      <c r="A19" s="15">
        <v>12</v>
      </c>
      <c r="B19" s="7" t="s">
        <v>199</v>
      </c>
      <c r="C19" s="7">
        <f>2423765-93400</f>
        <v>2330365</v>
      </c>
      <c r="D19" s="7">
        <v>2422325</v>
      </c>
      <c r="E19" s="6">
        <v>601972</v>
      </c>
      <c r="F19" s="6"/>
      <c r="G19" s="6">
        <v>1851732</v>
      </c>
      <c r="H19" s="6"/>
      <c r="I19" s="6">
        <f>27780+4320</f>
        <v>32100</v>
      </c>
      <c r="J19" s="6"/>
      <c r="K19" s="6"/>
      <c r="L19" s="5">
        <f t="shared" si="3"/>
        <v>2485804</v>
      </c>
      <c r="N19" s="48"/>
    </row>
    <row r="20" spans="1:14" x14ac:dyDescent="0.25">
      <c r="A20" s="15">
        <v>13</v>
      </c>
      <c r="B20" s="30" t="s">
        <v>137</v>
      </c>
      <c r="C20" s="30">
        <f>C21+C25+C32</f>
        <v>1536643</v>
      </c>
      <c r="D20" s="30">
        <f>D21+D25+D32</f>
        <v>313884</v>
      </c>
      <c r="E20" s="6">
        <f t="shared" ref="E20:K20" si="4">E21+E25+E32</f>
        <v>42000</v>
      </c>
      <c r="F20" s="6">
        <f t="shared" si="4"/>
        <v>0</v>
      </c>
      <c r="G20" s="6">
        <f t="shared" si="4"/>
        <v>234035</v>
      </c>
      <c r="H20" s="6">
        <f t="shared" si="4"/>
        <v>160044</v>
      </c>
      <c r="I20" s="6">
        <f t="shared" si="4"/>
        <v>0</v>
      </c>
      <c r="J20" s="6">
        <f t="shared" si="4"/>
        <v>298984</v>
      </c>
      <c r="K20" s="6">
        <f t="shared" si="4"/>
        <v>0</v>
      </c>
      <c r="L20" s="5">
        <f t="shared" si="3"/>
        <v>735063</v>
      </c>
      <c r="N20" s="47"/>
    </row>
    <row r="21" spans="1:14" ht="27.6" x14ac:dyDescent="0.25">
      <c r="A21" s="15" t="s">
        <v>133</v>
      </c>
      <c r="B21" s="7" t="s">
        <v>139</v>
      </c>
      <c r="C21" s="7">
        <f>SUM(C22:C24)</f>
        <v>207311</v>
      </c>
      <c r="D21" s="7">
        <f>SUM(D22:D24)</f>
        <v>0</v>
      </c>
      <c r="E21" s="6">
        <f>SUM(E22:E24)</f>
        <v>0</v>
      </c>
      <c r="F21" s="6">
        <f t="shared" ref="F21:K21" si="5">SUM(F22:F24)</f>
        <v>0</v>
      </c>
      <c r="G21" s="6">
        <f t="shared" si="5"/>
        <v>0</v>
      </c>
      <c r="H21" s="6">
        <f t="shared" si="5"/>
        <v>0</v>
      </c>
      <c r="I21" s="6">
        <f t="shared" si="5"/>
        <v>0</v>
      </c>
      <c r="J21" s="6">
        <f>SUM(J22:J24)</f>
        <v>105814</v>
      </c>
      <c r="K21" s="6">
        <f t="shared" si="5"/>
        <v>0</v>
      </c>
      <c r="L21" s="5">
        <f>SUM(E21:K21)</f>
        <v>105814</v>
      </c>
      <c r="N21" s="47"/>
    </row>
    <row r="22" spans="1:14" ht="27.6" x14ac:dyDescent="0.25">
      <c r="A22" s="16"/>
      <c r="B22" s="23" t="s">
        <v>166</v>
      </c>
      <c r="C22" s="23">
        <v>84984</v>
      </c>
      <c r="D22" s="23"/>
      <c r="E22" s="24"/>
      <c r="F22" s="24"/>
      <c r="G22" s="24"/>
      <c r="H22" s="24"/>
      <c r="I22" s="24"/>
      <c r="J22" s="24">
        <v>30975</v>
      </c>
      <c r="K22" s="24"/>
      <c r="L22" s="25">
        <f t="shared" si="3"/>
        <v>30975</v>
      </c>
      <c r="N22" s="47"/>
    </row>
    <row r="23" spans="1:14" ht="27.6" x14ac:dyDescent="0.25">
      <c r="A23" s="16"/>
      <c r="B23" s="23" t="s">
        <v>227</v>
      </c>
      <c r="C23" s="23">
        <v>18147</v>
      </c>
      <c r="D23" s="23"/>
      <c r="E23" s="24"/>
      <c r="F23" s="24"/>
      <c r="G23" s="24"/>
      <c r="H23" s="24"/>
      <c r="I23" s="24"/>
      <c r="J23" s="24">
        <v>18146</v>
      </c>
      <c r="K23" s="24"/>
      <c r="L23" s="25">
        <f t="shared" si="3"/>
        <v>18146</v>
      </c>
      <c r="N23" s="47"/>
    </row>
    <row r="24" spans="1:14" ht="96.6" x14ac:dyDescent="0.25">
      <c r="A24" s="16"/>
      <c r="B24" s="23" t="s">
        <v>232</v>
      </c>
      <c r="C24" s="23">
        <v>104180</v>
      </c>
      <c r="D24" s="23"/>
      <c r="E24" s="24"/>
      <c r="F24" s="24"/>
      <c r="G24" s="24"/>
      <c r="H24" s="24"/>
      <c r="I24" s="24"/>
      <c r="J24" s="24">
        <v>56693</v>
      </c>
      <c r="K24" s="24"/>
      <c r="L24" s="25">
        <f t="shared" si="3"/>
        <v>56693</v>
      </c>
      <c r="N24" s="47"/>
    </row>
    <row r="25" spans="1:14" x14ac:dyDescent="0.25">
      <c r="A25" s="15" t="s">
        <v>134</v>
      </c>
      <c r="B25" s="7" t="s">
        <v>140</v>
      </c>
      <c r="C25" s="7">
        <f>SUM(C26:C31)</f>
        <v>1163752</v>
      </c>
      <c r="D25" s="7">
        <f>SUM(D26:D31)</f>
        <v>168474</v>
      </c>
      <c r="E25" s="6">
        <f>SUM(E26:E31)</f>
        <v>42000</v>
      </c>
      <c r="F25" s="6">
        <f t="shared" ref="F25:K25" si="6">SUM(F26:F31)</f>
        <v>0</v>
      </c>
      <c r="G25" s="6">
        <f t="shared" si="6"/>
        <v>234035</v>
      </c>
      <c r="H25" s="6">
        <f t="shared" si="6"/>
        <v>0</v>
      </c>
      <c r="I25" s="6">
        <f t="shared" si="6"/>
        <v>0</v>
      </c>
      <c r="J25" s="6">
        <f t="shared" si="6"/>
        <v>193170</v>
      </c>
      <c r="K25" s="6">
        <f t="shared" si="6"/>
        <v>0</v>
      </c>
      <c r="L25" s="5">
        <f t="shared" si="3"/>
        <v>469205</v>
      </c>
      <c r="N25" s="47"/>
    </row>
    <row r="26" spans="1:14" x14ac:dyDescent="0.25">
      <c r="A26" s="16"/>
      <c r="B26" s="23" t="s">
        <v>10</v>
      </c>
      <c r="C26" s="23">
        <v>13000</v>
      </c>
      <c r="D26" s="23">
        <v>12863</v>
      </c>
      <c r="E26" s="24">
        <v>15000</v>
      </c>
      <c r="F26" s="24"/>
      <c r="G26" s="24"/>
      <c r="H26" s="24"/>
      <c r="I26" s="24"/>
      <c r="J26" s="24"/>
      <c r="K26" s="24"/>
      <c r="L26" s="25">
        <f t="shared" si="3"/>
        <v>15000</v>
      </c>
      <c r="N26" s="47"/>
    </row>
    <row r="27" spans="1:14" ht="27.6" x14ac:dyDescent="0.25">
      <c r="A27" s="16"/>
      <c r="B27" s="23" t="s">
        <v>274</v>
      </c>
      <c r="C27" s="23">
        <v>27000</v>
      </c>
      <c r="D27" s="23">
        <v>22523</v>
      </c>
      <c r="E27" s="24">
        <v>27000</v>
      </c>
      <c r="F27" s="24"/>
      <c r="G27" s="24"/>
      <c r="H27" s="24"/>
      <c r="I27" s="24"/>
      <c r="J27" s="24"/>
      <c r="K27" s="24"/>
      <c r="L27" s="25">
        <f t="shared" si="3"/>
        <v>27000</v>
      </c>
      <c r="N27" s="47"/>
    </row>
    <row r="28" spans="1:14" x14ac:dyDescent="0.25">
      <c r="A28" s="16"/>
      <c r="B28" s="23" t="s">
        <v>11</v>
      </c>
      <c r="C28" s="23">
        <v>0</v>
      </c>
      <c r="D28" s="23">
        <v>0</v>
      </c>
      <c r="E28" s="24"/>
      <c r="F28" s="24"/>
      <c r="G28" s="24">
        <v>234035</v>
      </c>
      <c r="H28" s="24"/>
      <c r="I28" s="24"/>
      <c r="J28" s="24"/>
      <c r="K28" s="24"/>
      <c r="L28" s="25">
        <f t="shared" si="3"/>
        <v>234035</v>
      </c>
      <c r="N28" s="47"/>
    </row>
    <row r="29" spans="1:14" ht="31.2" x14ac:dyDescent="0.25">
      <c r="A29" s="16"/>
      <c r="B29" s="27" t="s">
        <v>12</v>
      </c>
      <c r="C29" s="27">
        <v>990664</v>
      </c>
      <c r="D29" s="27"/>
      <c r="E29" s="24"/>
      <c r="F29" s="24"/>
      <c r="G29" s="24"/>
      <c r="H29" s="24"/>
      <c r="I29" s="24"/>
      <c r="J29" s="24">
        <f>117995+75175</f>
        <v>193170</v>
      </c>
      <c r="K29" s="24"/>
      <c r="L29" s="25">
        <f t="shared" si="3"/>
        <v>193170</v>
      </c>
      <c r="N29" s="47"/>
    </row>
    <row r="30" spans="1:14" ht="31.2" x14ac:dyDescent="0.25">
      <c r="A30" s="16"/>
      <c r="B30" s="27" t="s">
        <v>188</v>
      </c>
      <c r="C30" s="27">
        <v>133088</v>
      </c>
      <c r="D30" s="27">
        <v>133088</v>
      </c>
      <c r="E30" s="24"/>
      <c r="F30" s="24"/>
      <c r="G30" s="24"/>
      <c r="H30" s="24"/>
      <c r="I30" s="24"/>
      <c r="J30" s="24"/>
      <c r="K30" s="24"/>
      <c r="L30" s="25">
        <f t="shared" si="3"/>
        <v>0</v>
      </c>
      <c r="N30" s="49"/>
    </row>
    <row r="31" spans="1:14" ht="31.2" x14ac:dyDescent="0.25">
      <c r="A31" s="16"/>
      <c r="B31" s="27" t="s">
        <v>184</v>
      </c>
      <c r="C31" s="27">
        <v>0</v>
      </c>
      <c r="D31" s="27">
        <v>0</v>
      </c>
      <c r="E31" s="24"/>
      <c r="F31" s="24"/>
      <c r="G31" s="24"/>
      <c r="H31" s="24"/>
      <c r="I31" s="24"/>
      <c r="J31" s="24"/>
      <c r="K31" s="24"/>
      <c r="L31" s="25">
        <f t="shared" ref="L31" si="7">SUM(E31:K31)</f>
        <v>0</v>
      </c>
      <c r="N31" s="49"/>
    </row>
    <row r="32" spans="1:14" ht="27.6" x14ac:dyDescent="0.25">
      <c r="A32" s="15" t="s">
        <v>135</v>
      </c>
      <c r="B32" s="7" t="s">
        <v>141</v>
      </c>
      <c r="C32" s="7">
        <v>165580</v>
      </c>
      <c r="D32" s="7">
        <v>145410</v>
      </c>
      <c r="E32" s="6"/>
      <c r="F32" s="6"/>
      <c r="G32" s="6"/>
      <c r="H32" s="6">
        <v>160044</v>
      </c>
      <c r="I32" s="6"/>
      <c r="J32" s="6"/>
      <c r="K32" s="6"/>
      <c r="L32" s="5">
        <f t="shared" si="3"/>
        <v>160044</v>
      </c>
      <c r="N32" s="47"/>
    </row>
    <row r="33" spans="1:14" ht="41.4" x14ac:dyDescent="0.25">
      <c r="A33" s="15">
        <v>14</v>
      </c>
      <c r="B33" s="7" t="s">
        <v>200</v>
      </c>
      <c r="C33" s="7">
        <f>570387-35737</f>
        <v>534650</v>
      </c>
      <c r="D33" s="7">
        <v>562182</v>
      </c>
      <c r="E33" s="6">
        <v>285983</v>
      </c>
      <c r="F33" s="6"/>
      <c r="G33" s="6">
        <v>134923</v>
      </c>
      <c r="H33" s="6">
        <f>65872+7095</f>
        <v>72967</v>
      </c>
      <c r="I33" s="6">
        <f>26050+7940</f>
        <v>33990</v>
      </c>
      <c r="J33" s="6"/>
      <c r="K33" s="6"/>
      <c r="L33" s="5">
        <f t="shared" si="3"/>
        <v>527863</v>
      </c>
      <c r="N33" s="50"/>
    </row>
    <row r="34" spans="1:14" ht="55.2" x14ac:dyDescent="0.25">
      <c r="A34" s="15">
        <v>15</v>
      </c>
      <c r="B34" s="7" t="s">
        <v>201</v>
      </c>
      <c r="C34" s="7">
        <f>941186-13000-3373</f>
        <v>924813</v>
      </c>
      <c r="D34" s="7">
        <f>921005+3373</f>
        <v>924378</v>
      </c>
      <c r="E34" s="6">
        <v>876837</v>
      </c>
      <c r="F34" s="6"/>
      <c r="G34" s="6">
        <v>69760</v>
      </c>
      <c r="H34" s="6">
        <v>44017</v>
      </c>
      <c r="I34" s="6">
        <f>3000+1360+67640</f>
        <v>72000</v>
      </c>
      <c r="J34" s="6"/>
      <c r="K34" s="6"/>
      <c r="L34" s="5">
        <f t="shared" si="3"/>
        <v>1062614</v>
      </c>
      <c r="N34" s="48"/>
    </row>
    <row r="35" spans="1:14" ht="55.2" x14ac:dyDescent="0.25">
      <c r="A35" s="14">
        <v>16</v>
      </c>
      <c r="B35" s="29" t="s">
        <v>202</v>
      </c>
      <c r="C35" s="29">
        <f>C36+C70+C74</f>
        <v>11014230</v>
      </c>
      <c r="D35" s="29">
        <f>D36+D70+D74</f>
        <v>10452628</v>
      </c>
      <c r="E35" s="10">
        <f>E36+E71+E73+E74</f>
        <v>7901033</v>
      </c>
      <c r="F35" s="10">
        <f t="shared" ref="F35:K35" si="8">F36+F71+F73+F74</f>
        <v>2655975</v>
      </c>
      <c r="G35" s="10">
        <f t="shared" si="8"/>
        <v>0</v>
      </c>
      <c r="H35" s="10">
        <f t="shared" si="8"/>
        <v>602714</v>
      </c>
      <c r="I35" s="10">
        <f t="shared" si="8"/>
        <v>359703</v>
      </c>
      <c r="J35" s="10">
        <f t="shared" si="8"/>
        <v>59797</v>
      </c>
      <c r="K35" s="10">
        <f t="shared" si="8"/>
        <v>0</v>
      </c>
      <c r="L35" s="10">
        <f t="shared" ref="L35:L103" si="9">SUM(E35:K35)</f>
        <v>11579222</v>
      </c>
      <c r="N35" s="47"/>
    </row>
    <row r="36" spans="1:14" ht="27.6" x14ac:dyDescent="0.25">
      <c r="A36" s="15">
        <v>17</v>
      </c>
      <c r="B36" s="7" t="s">
        <v>203</v>
      </c>
      <c r="C36" s="7">
        <f>SUM(C37:C69)</f>
        <v>6343598</v>
      </c>
      <c r="D36" s="7">
        <f>SUM(D37:D69)</f>
        <v>5907166</v>
      </c>
      <c r="E36" s="6">
        <f>SUM(E37:E69)</f>
        <v>4183884</v>
      </c>
      <c r="F36" s="6">
        <f t="shared" ref="F36:K36" si="10">SUM(F37:F69)</f>
        <v>1726415</v>
      </c>
      <c r="G36" s="6">
        <f t="shared" si="10"/>
        <v>0</v>
      </c>
      <c r="H36" s="6">
        <f>SUM(H37:H69)</f>
        <v>593826</v>
      </c>
      <c r="I36" s="6">
        <f t="shared" si="10"/>
        <v>0</v>
      </c>
      <c r="J36" s="6">
        <f t="shared" si="10"/>
        <v>59797</v>
      </c>
      <c r="K36" s="6">
        <f t="shared" si="10"/>
        <v>0</v>
      </c>
      <c r="L36" s="5">
        <f t="shared" si="9"/>
        <v>6563922</v>
      </c>
      <c r="N36" s="47"/>
    </row>
    <row r="37" spans="1:14" x14ac:dyDescent="0.25">
      <c r="A37" s="15"/>
      <c r="B37" s="26" t="s">
        <v>13</v>
      </c>
      <c r="C37" s="31">
        <v>154400</v>
      </c>
      <c r="D37" s="31">
        <v>153535</v>
      </c>
      <c r="E37" s="24">
        <v>10000</v>
      </c>
      <c r="F37" s="24">
        <v>159400</v>
      </c>
      <c r="G37" s="24"/>
      <c r="H37" s="24"/>
      <c r="I37" s="24"/>
      <c r="J37" s="24"/>
      <c r="K37" s="24"/>
      <c r="L37" s="25">
        <f t="shared" si="9"/>
        <v>169400</v>
      </c>
      <c r="N37" s="47"/>
    </row>
    <row r="38" spans="1:14" ht="41.4" x14ac:dyDescent="0.25">
      <c r="A38" s="15"/>
      <c r="B38" s="23" t="s">
        <v>14</v>
      </c>
      <c r="C38" s="23">
        <v>1031254</v>
      </c>
      <c r="D38" s="23">
        <v>1027880</v>
      </c>
      <c r="E38" s="24"/>
      <c r="F38" s="24">
        <v>1036515</v>
      </c>
      <c r="G38" s="24"/>
      <c r="H38" s="24"/>
      <c r="I38" s="24"/>
      <c r="J38" s="24"/>
      <c r="K38" s="24"/>
      <c r="L38" s="25">
        <f t="shared" si="9"/>
        <v>1036515</v>
      </c>
      <c r="N38" s="41"/>
    </row>
    <row r="39" spans="1:14" ht="69" x14ac:dyDescent="0.25">
      <c r="A39" s="15"/>
      <c r="B39" s="26" t="s">
        <v>16</v>
      </c>
      <c r="C39" s="31">
        <v>61800</v>
      </c>
      <c r="D39" s="31">
        <v>57125</v>
      </c>
      <c r="E39" s="24"/>
      <c r="F39" s="24">
        <v>72000</v>
      </c>
      <c r="G39" s="24"/>
      <c r="H39" s="24"/>
      <c r="I39" s="24"/>
      <c r="J39" s="24"/>
      <c r="K39" s="24"/>
      <c r="L39" s="25">
        <f t="shared" si="9"/>
        <v>72000</v>
      </c>
      <c r="N39" s="47"/>
    </row>
    <row r="40" spans="1:14" ht="55.2" x14ac:dyDescent="0.25">
      <c r="A40" s="15"/>
      <c r="B40" s="26" t="s">
        <v>15</v>
      </c>
      <c r="C40" s="31">
        <v>381000</v>
      </c>
      <c r="D40" s="31">
        <v>359489</v>
      </c>
      <c r="E40" s="24"/>
      <c r="F40" s="24">
        <v>458500</v>
      </c>
      <c r="G40" s="24"/>
      <c r="H40" s="24"/>
      <c r="I40" s="24"/>
      <c r="J40" s="24"/>
      <c r="K40" s="24"/>
      <c r="L40" s="25">
        <f>SUM(E40:K40)</f>
        <v>458500</v>
      </c>
      <c r="N40" s="47"/>
    </row>
    <row r="41" spans="1:14" ht="41.4" x14ac:dyDescent="0.25">
      <c r="A41" s="15"/>
      <c r="B41" s="23" t="s">
        <v>21</v>
      </c>
      <c r="C41" s="31">
        <v>372850</v>
      </c>
      <c r="D41" s="31">
        <v>372850</v>
      </c>
      <c r="E41" s="24">
        <v>236300</v>
      </c>
      <c r="F41" s="24"/>
      <c r="G41" s="24"/>
      <c r="H41" s="24"/>
      <c r="I41" s="24"/>
      <c r="J41" s="24"/>
      <c r="K41" s="24"/>
      <c r="L41" s="25">
        <f>SUM(E41:K41)</f>
        <v>236300</v>
      </c>
      <c r="N41" s="47"/>
    </row>
    <row r="42" spans="1:14" ht="41.4" x14ac:dyDescent="0.25">
      <c r="A42" s="15"/>
      <c r="B42" s="23" t="s">
        <v>18</v>
      </c>
      <c r="C42" s="23">
        <v>115080</v>
      </c>
      <c r="D42" s="23">
        <v>115080</v>
      </c>
      <c r="E42" s="24">
        <v>115500</v>
      </c>
      <c r="F42" s="24"/>
      <c r="G42" s="24"/>
      <c r="H42" s="24"/>
      <c r="I42" s="24"/>
      <c r="J42" s="24"/>
      <c r="K42" s="24"/>
      <c r="L42" s="25">
        <f t="shared" si="9"/>
        <v>115500</v>
      </c>
      <c r="N42" s="47"/>
    </row>
    <row r="43" spans="1:14" ht="27.6" x14ac:dyDescent="0.25">
      <c r="A43" s="15"/>
      <c r="B43" s="23" t="s">
        <v>19</v>
      </c>
      <c r="C43" s="23">
        <v>658870</v>
      </c>
      <c r="D43" s="23">
        <v>658870</v>
      </c>
      <c r="E43" s="24">
        <v>412553</v>
      </c>
      <c r="F43" s="24"/>
      <c r="G43" s="24"/>
      <c r="H43" s="24"/>
      <c r="I43" s="24"/>
      <c r="J43" s="24"/>
      <c r="K43" s="24"/>
      <c r="L43" s="25">
        <f t="shared" si="9"/>
        <v>412553</v>
      </c>
      <c r="N43" s="47"/>
    </row>
    <row r="44" spans="1:14" ht="41.4" x14ac:dyDescent="0.25">
      <c r="A44" s="15"/>
      <c r="B44" s="23" t="s">
        <v>20</v>
      </c>
      <c r="C44" s="23">
        <v>149370</v>
      </c>
      <c r="D44" s="23">
        <v>149370</v>
      </c>
      <c r="E44" s="24">
        <v>135357</v>
      </c>
      <c r="F44" s="24"/>
      <c r="G44" s="24"/>
      <c r="H44" s="24"/>
      <c r="I44" s="24"/>
      <c r="J44" s="24"/>
      <c r="K44" s="24"/>
      <c r="L44" s="25">
        <f t="shared" si="9"/>
        <v>135357</v>
      </c>
      <c r="N44" s="47"/>
    </row>
    <row r="45" spans="1:14" ht="41.4" x14ac:dyDescent="0.25">
      <c r="A45" s="15"/>
      <c r="B45" s="23" t="s">
        <v>237</v>
      </c>
      <c r="C45" s="23"/>
      <c r="D45" s="23"/>
      <c r="E45" s="24">
        <v>105493</v>
      </c>
      <c r="F45" s="24"/>
      <c r="G45" s="24"/>
      <c r="H45" s="24"/>
      <c r="I45" s="24"/>
      <c r="J45" s="24"/>
      <c r="K45" s="24"/>
      <c r="L45" s="25"/>
      <c r="N45" s="47"/>
    </row>
    <row r="46" spans="1:14" ht="27.6" x14ac:dyDescent="0.25">
      <c r="A46" s="15"/>
      <c r="B46" s="23" t="s">
        <v>22</v>
      </c>
      <c r="C46" s="23">
        <v>194372</v>
      </c>
      <c r="D46" s="23">
        <v>168000</v>
      </c>
      <c r="E46" s="24">
        <v>142000</v>
      </c>
      <c r="F46" s="24"/>
      <c r="G46" s="24"/>
      <c r="H46" s="24"/>
      <c r="I46" s="24"/>
      <c r="J46" s="24"/>
      <c r="K46" s="24"/>
      <c r="L46" s="25">
        <f t="shared" si="9"/>
        <v>142000</v>
      </c>
      <c r="N46" s="47"/>
    </row>
    <row r="47" spans="1:14" ht="27.6" x14ac:dyDescent="0.25">
      <c r="A47" s="15"/>
      <c r="B47" s="23" t="s">
        <v>231</v>
      </c>
      <c r="C47" s="23">
        <v>305300</v>
      </c>
      <c r="D47" s="23">
        <v>305300</v>
      </c>
      <c r="E47" s="24">
        <v>178611</v>
      </c>
      <c r="F47" s="24"/>
      <c r="G47" s="24"/>
      <c r="H47" s="24"/>
      <c r="I47" s="24"/>
      <c r="J47" s="24"/>
      <c r="K47" s="24"/>
      <c r="L47" s="25">
        <f t="shared" si="9"/>
        <v>178611</v>
      </c>
      <c r="N47" s="47"/>
    </row>
    <row r="48" spans="1:14" ht="41.4" x14ac:dyDescent="0.25">
      <c r="A48" s="15"/>
      <c r="B48" s="23" t="s">
        <v>23</v>
      </c>
      <c r="C48" s="23">
        <v>50700</v>
      </c>
      <c r="D48" s="23">
        <v>50700</v>
      </c>
      <c r="E48" s="24">
        <v>58488</v>
      </c>
      <c r="F48" s="24"/>
      <c r="G48" s="24"/>
      <c r="H48" s="24"/>
      <c r="I48" s="24"/>
      <c r="J48" s="24"/>
      <c r="K48" s="24"/>
      <c r="L48" s="25">
        <f t="shared" si="9"/>
        <v>58488</v>
      </c>
      <c r="N48" s="47"/>
    </row>
    <row r="49" spans="1:15" ht="55.2" x14ac:dyDescent="0.25">
      <c r="A49" s="15"/>
      <c r="B49" s="23" t="s">
        <v>24</v>
      </c>
      <c r="C49" s="23">
        <v>732800</v>
      </c>
      <c r="D49" s="23">
        <v>529163</v>
      </c>
      <c r="E49" s="24">
        <v>160597</v>
      </c>
      <c r="F49" s="24"/>
      <c r="G49" s="24"/>
      <c r="H49" s="24"/>
      <c r="I49" s="24"/>
      <c r="J49" s="24"/>
      <c r="K49" s="24"/>
      <c r="L49" s="25">
        <f t="shared" si="9"/>
        <v>160597</v>
      </c>
      <c r="N49" s="47"/>
    </row>
    <row r="50" spans="1:15" x14ac:dyDescent="0.25">
      <c r="A50" s="15"/>
      <c r="B50" s="23" t="s">
        <v>25</v>
      </c>
      <c r="C50" s="23"/>
      <c r="D50" s="23"/>
      <c r="E50" s="24">
        <v>515000</v>
      </c>
      <c r="F50" s="24"/>
      <c r="G50" s="24"/>
      <c r="H50" s="24"/>
      <c r="I50" s="24"/>
      <c r="J50" s="24"/>
      <c r="K50" s="24"/>
      <c r="L50" s="25">
        <f t="shared" si="9"/>
        <v>515000</v>
      </c>
      <c r="N50" s="47" t="s">
        <v>277</v>
      </c>
    </row>
    <row r="51" spans="1:15" x14ac:dyDescent="0.25">
      <c r="A51" s="15"/>
      <c r="B51" s="23" t="s">
        <v>26</v>
      </c>
      <c r="C51" s="23">
        <v>536036</v>
      </c>
      <c r="D51" s="23">
        <v>529145</v>
      </c>
      <c r="E51" s="24">
        <v>291530</v>
      </c>
      <c r="F51" s="24"/>
      <c r="G51" s="24"/>
      <c r="H51" s="24">
        <v>263700</v>
      </c>
      <c r="I51" s="24"/>
      <c r="J51" s="24"/>
      <c r="K51" s="24"/>
      <c r="L51" s="25">
        <f t="shared" si="9"/>
        <v>555230</v>
      </c>
      <c r="N51" s="47" t="s">
        <v>244</v>
      </c>
    </row>
    <row r="52" spans="1:15" x14ac:dyDescent="0.25">
      <c r="A52" s="15"/>
      <c r="B52" s="26" t="s">
        <v>27</v>
      </c>
      <c r="C52" s="31">
        <v>32700</v>
      </c>
      <c r="D52" s="31">
        <v>27700</v>
      </c>
      <c r="E52" s="24">
        <v>5000</v>
      </c>
      <c r="F52" s="24"/>
      <c r="G52" s="24"/>
      <c r="H52" s="24">
        <v>26400</v>
      </c>
      <c r="I52" s="24"/>
      <c r="J52" s="24"/>
      <c r="K52" s="24"/>
      <c r="L52" s="25">
        <f t="shared" si="9"/>
        <v>31400</v>
      </c>
      <c r="N52" s="47" t="s">
        <v>245</v>
      </c>
    </row>
    <row r="53" spans="1:15" x14ac:dyDescent="0.25">
      <c r="A53" s="15"/>
      <c r="B53" s="26" t="s">
        <v>28</v>
      </c>
      <c r="C53" s="31">
        <v>59491</v>
      </c>
      <c r="D53" s="31">
        <v>56771</v>
      </c>
      <c r="E53" s="24">
        <v>0</v>
      </c>
      <c r="F53" s="24"/>
      <c r="G53" s="24"/>
      <c r="H53" s="24">
        <v>93371</v>
      </c>
      <c r="I53" s="24"/>
      <c r="J53" s="24"/>
      <c r="K53" s="24"/>
      <c r="L53" s="25">
        <f t="shared" si="9"/>
        <v>93371</v>
      </c>
      <c r="N53" s="47"/>
    </row>
    <row r="54" spans="1:15" ht="27.6" x14ac:dyDescent="0.25">
      <c r="A54" s="15"/>
      <c r="B54" s="23" t="s">
        <v>29</v>
      </c>
      <c r="C54" s="31">
        <v>45587</v>
      </c>
      <c r="D54" s="31">
        <v>40517</v>
      </c>
      <c r="E54" s="24">
        <v>18648</v>
      </c>
      <c r="F54" s="24"/>
      <c r="G54" s="24"/>
      <c r="H54" s="24">
        <v>26196</v>
      </c>
      <c r="I54" s="24"/>
      <c r="J54" s="24"/>
      <c r="K54" s="24"/>
      <c r="L54" s="25">
        <f t="shared" si="9"/>
        <v>44844</v>
      </c>
      <c r="N54" s="47" t="s">
        <v>246</v>
      </c>
    </row>
    <row r="55" spans="1:15" x14ac:dyDescent="0.25">
      <c r="A55" s="15"/>
      <c r="B55" s="23" t="s">
        <v>30</v>
      </c>
      <c r="C55" s="31">
        <v>33600</v>
      </c>
      <c r="D55" s="31">
        <v>29123</v>
      </c>
      <c r="E55" s="24"/>
      <c r="F55" s="24"/>
      <c r="G55" s="24"/>
      <c r="H55" s="24">
        <v>33300</v>
      </c>
      <c r="I55" s="24"/>
      <c r="J55" s="24"/>
      <c r="K55" s="24"/>
      <c r="L55" s="25">
        <f t="shared" si="9"/>
        <v>33300</v>
      </c>
      <c r="N55" s="47"/>
    </row>
    <row r="56" spans="1:15" ht="27.6" x14ac:dyDescent="0.25">
      <c r="A56" s="15"/>
      <c r="B56" s="23" t="s">
        <v>31</v>
      </c>
      <c r="C56" s="23">
        <v>40189</v>
      </c>
      <c r="D56" s="23">
        <v>39424</v>
      </c>
      <c r="E56" s="24">
        <v>2500</v>
      </c>
      <c r="F56" s="24"/>
      <c r="G56" s="24"/>
      <c r="H56" s="24"/>
      <c r="I56" s="24"/>
      <c r="J56" s="24"/>
      <c r="K56" s="24"/>
      <c r="L56" s="25">
        <f t="shared" si="9"/>
        <v>2500</v>
      </c>
      <c r="N56" s="47" t="s">
        <v>247</v>
      </c>
    </row>
    <row r="57" spans="1:15" ht="66" x14ac:dyDescent="0.25">
      <c r="A57" s="15"/>
      <c r="B57" s="23" t="s">
        <v>168</v>
      </c>
      <c r="C57" s="23"/>
      <c r="D57" s="23"/>
      <c r="E57" s="24">
        <f>56487+3000+3000</f>
        <v>62487</v>
      </c>
      <c r="F57" s="24"/>
      <c r="G57" s="24"/>
      <c r="H57" s="24"/>
      <c r="I57" s="24"/>
      <c r="J57" s="24"/>
      <c r="K57" s="24"/>
      <c r="L57" s="25">
        <f t="shared" si="9"/>
        <v>62487</v>
      </c>
      <c r="N57" s="48" t="s">
        <v>292</v>
      </c>
      <c r="O57" s="33"/>
    </row>
    <row r="58" spans="1:15" ht="69" x14ac:dyDescent="0.25">
      <c r="A58" s="15"/>
      <c r="B58" s="23" t="s">
        <v>240</v>
      </c>
      <c r="C58" s="23">
        <v>76053</v>
      </c>
      <c r="D58" s="23"/>
      <c r="E58" s="24"/>
      <c r="F58" s="24"/>
      <c r="G58" s="24"/>
      <c r="H58" s="24"/>
      <c r="I58" s="24"/>
      <c r="J58" s="24">
        <f>(3882+6000)+(38544+2261)</f>
        <v>50687</v>
      </c>
      <c r="K58" s="24"/>
      <c r="L58" s="25">
        <f>SUM(E58:K58)</f>
        <v>50687</v>
      </c>
      <c r="N58" s="41" t="s">
        <v>269</v>
      </c>
    </row>
    <row r="59" spans="1:15" x14ac:dyDescent="0.25">
      <c r="A59" s="15"/>
      <c r="B59" s="23" t="s">
        <v>32</v>
      </c>
      <c r="C59" s="23">
        <v>166918</v>
      </c>
      <c r="D59" s="23">
        <v>166918</v>
      </c>
      <c r="E59" s="24">
        <v>83250</v>
      </c>
      <c r="F59" s="24"/>
      <c r="G59" s="24"/>
      <c r="H59" s="24">
        <v>124882</v>
      </c>
      <c r="I59" s="24"/>
      <c r="J59" s="24"/>
      <c r="K59" s="24"/>
      <c r="L59" s="25">
        <f t="shared" si="9"/>
        <v>208132</v>
      </c>
      <c r="N59" s="47"/>
    </row>
    <row r="60" spans="1:15" ht="27.6" x14ac:dyDescent="0.25">
      <c r="A60" s="15"/>
      <c r="B60" s="23" t="s">
        <v>33</v>
      </c>
      <c r="C60" s="23">
        <v>40685</v>
      </c>
      <c r="D60" s="23">
        <v>9000</v>
      </c>
      <c r="E60" s="24">
        <v>40700</v>
      </c>
      <c r="F60" s="24"/>
      <c r="G60" s="24"/>
      <c r="H60" s="24"/>
      <c r="I60" s="24"/>
      <c r="J60" s="24"/>
      <c r="K60" s="24"/>
      <c r="L60" s="25">
        <f t="shared" si="9"/>
        <v>40700</v>
      </c>
      <c r="N60" s="41" t="s">
        <v>253</v>
      </c>
    </row>
    <row r="61" spans="1:15" ht="15" customHeight="1" x14ac:dyDescent="0.25">
      <c r="A61" s="15"/>
      <c r="B61" s="23" t="s">
        <v>132</v>
      </c>
      <c r="C61" s="23">
        <v>235800</v>
      </c>
      <c r="D61" s="23">
        <v>205464</v>
      </c>
      <c r="E61" s="24">
        <v>160000</v>
      </c>
      <c r="F61" s="24"/>
      <c r="G61" s="24"/>
      <c r="H61" s="24"/>
      <c r="I61" s="24"/>
      <c r="J61" s="24"/>
      <c r="K61" s="24"/>
      <c r="L61" s="25">
        <f>SUM(E61:K61)</f>
        <v>160000</v>
      </c>
      <c r="N61" s="41" t="s">
        <v>250</v>
      </c>
    </row>
    <row r="62" spans="1:15" ht="55.2" x14ac:dyDescent="0.25">
      <c r="A62" s="15"/>
      <c r="B62" s="23" t="s">
        <v>248</v>
      </c>
      <c r="C62" s="23">
        <v>794346</v>
      </c>
      <c r="D62" s="23">
        <v>785003</v>
      </c>
      <c r="E62" s="24">
        <f>1100000+250000</f>
        <v>1350000</v>
      </c>
      <c r="F62" s="24"/>
      <c r="G62" s="24"/>
      <c r="H62" s="24"/>
      <c r="I62" s="24"/>
      <c r="J62" s="24"/>
      <c r="K62" s="24"/>
      <c r="L62" s="25">
        <f t="shared" si="9"/>
        <v>1350000</v>
      </c>
      <c r="N62" s="41" t="s">
        <v>278</v>
      </c>
      <c r="O62" s="39"/>
    </row>
    <row r="63" spans="1:15" ht="41.4" x14ac:dyDescent="0.25">
      <c r="A63" s="15"/>
      <c r="B63" s="23" t="s">
        <v>174</v>
      </c>
      <c r="C63" s="23"/>
      <c r="D63" s="23"/>
      <c r="E63" s="24"/>
      <c r="F63" s="24"/>
      <c r="G63" s="24"/>
      <c r="H63" s="24">
        <v>10500</v>
      </c>
      <c r="I63" s="24"/>
      <c r="J63" s="24"/>
      <c r="K63" s="24"/>
      <c r="L63" s="25">
        <f>SUM(E63:K63)</f>
        <v>10500</v>
      </c>
      <c r="N63" s="47"/>
    </row>
    <row r="64" spans="1:15" ht="41.4" x14ac:dyDescent="0.25">
      <c r="A64" s="15"/>
      <c r="B64" s="23" t="s">
        <v>34</v>
      </c>
      <c r="C64" s="23">
        <v>30511</v>
      </c>
      <c r="D64" s="23">
        <v>28730</v>
      </c>
      <c r="E64" s="24">
        <v>30000</v>
      </c>
      <c r="F64" s="24"/>
      <c r="G64" s="24"/>
      <c r="H64" s="24"/>
      <c r="I64" s="24"/>
      <c r="J64" s="24"/>
      <c r="K64" s="24"/>
      <c r="L64" s="25">
        <f t="shared" si="9"/>
        <v>30000</v>
      </c>
      <c r="N64" s="47"/>
    </row>
    <row r="65" spans="1:15" ht="41.4" x14ac:dyDescent="0.25">
      <c r="A65" s="15"/>
      <c r="B65" s="23" t="s">
        <v>169</v>
      </c>
      <c r="C65" s="23">
        <v>29000</v>
      </c>
      <c r="D65" s="23">
        <v>29000</v>
      </c>
      <c r="E65" s="24">
        <f>30000+4000</f>
        <v>34000</v>
      </c>
      <c r="F65" s="24"/>
      <c r="G65" s="24"/>
      <c r="H65" s="24"/>
      <c r="I65" s="24"/>
      <c r="J65" s="24"/>
      <c r="K65" s="24"/>
      <c r="L65" s="25">
        <f t="shared" si="9"/>
        <v>34000</v>
      </c>
      <c r="N65" s="41" t="s">
        <v>294</v>
      </c>
    </row>
    <row r="66" spans="1:15" ht="41.4" x14ac:dyDescent="0.25">
      <c r="A66" s="15"/>
      <c r="B66" s="23" t="s">
        <v>249</v>
      </c>
      <c r="C66" s="23">
        <v>2200</v>
      </c>
      <c r="D66" s="23">
        <v>1193</v>
      </c>
      <c r="E66" s="24">
        <v>20000</v>
      </c>
      <c r="F66" s="24"/>
      <c r="G66" s="24"/>
      <c r="H66" s="24"/>
      <c r="I66" s="24"/>
      <c r="J66" s="24"/>
      <c r="K66" s="24"/>
      <c r="L66" s="25">
        <f t="shared" si="9"/>
        <v>20000</v>
      </c>
      <c r="N66" s="41" t="s">
        <v>251</v>
      </c>
      <c r="O66" s="39"/>
    </row>
    <row r="67" spans="1:15" ht="27.6" x14ac:dyDescent="0.25">
      <c r="A67" s="15"/>
      <c r="B67" s="23" t="s">
        <v>35</v>
      </c>
      <c r="C67" s="23">
        <v>870</v>
      </c>
      <c r="D67" s="23"/>
      <c r="E67" s="24">
        <v>15870</v>
      </c>
      <c r="F67" s="24"/>
      <c r="G67" s="24"/>
      <c r="H67" s="24"/>
      <c r="I67" s="24"/>
      <c r="J67" s="24"/>
      <c r="K67" s="24"/>
      <c r="L67" s="25">
        <f t="shared" ref="L67" si="11">SUM(E67:K67)</f>
        <v>15870</v>
      </c>
      <c r="N67" s="47"/>
    </row>
    <row r="68" spans="1:15" ht="41.4" x14ac:dyDescent="0.25">
      <c r="A68" s="15"/>
      <c r="B68" s="23" t="s">
        <v>17</v>
      </c>
      <c r="C68" s="23">
        <v>11816</v>
      </c>
      <c r="D68" s="23">
        <v>11816</v>
      </c>
      <c r="E68" s="24"/>
      <c r="F68" s="24"/>
      <c r="G68" s="24"/>
      <c r="H68" s="24">
        <v>15477</v>
      </c>
      <c r="I68" s="24"/>
      <c r="J68" s="24"/>
      <c r="K68" s="24"/>
      <c r="L68" s="25">
        <f>SUM(E68:K68)</f>
        <v>15477</v>
      </c>
      <c r="N68" s="47"/>
    </row>
    <row r="69" spans="1:15" ht="41.4" x14ac:dyDescent="0.25">
      <c r="A69" s="15"/>
      <c r="B69" s="23" t="s">
        <v>186</v>
      </c>
      <c r="C69" s="23"/>
      <c r="D69" s="23"/>
      <c r="E69" s="24"/>
      <c r="F69" s="24"/>
      <c r="G69" s="24"/>
      <c r="H69" s="24"/>
      <c r="I69" s="24"/>
      <c r="J69" s="24">
        <v>9110</v>
      </c>
      <c r="K69" s="24"/>
      <c r="L69" s="25">
        <f>SUM(E69:K69)</f>
        <v>9110</v>
      </c>
      <c r="N69" s="47"/>
    </row>
    <row r="70" spans="1:15" x14ac:dyDescent="0.25">
      <c r="A70" s="15">
        <v>18</v>
      </c>
      <c r="B70" s="30" t="s">
        <v>183</v>
      </c>
      <c r="C70" s="30">
        <f>C71+C73</f>
        <v>684047</v>
      </c>
      <c r="D70" s="30">
        <f>D71+D73</f>
        <v>626438</v>
      </c>
      <c r="E70" s="6">
        <f>E71+E73</f>
        <v>436149</v>
      </c>
      <c r="F70" s="6">
        <f t="shared" ref="F70:K70" si="12">F71+F73</f>
        <v>0</v>
      </c>
      <c r="G70" s="6">
        <f t="shared" si="12"/>
        <v>0</v>
      </c>
      <c r="H70" s="6">
        <f t="shared" si="12"/>
        <v>8888</v>
      </c>
      <c r="I70" s="6">
        <f t="shared" si="12"/>
        <v>359703</v>
      </c>
      <c r="J70" s="6">
        <f t="shared" si="12"/>
        <v>0</v>
      </c>
      <c r="K70" s="6">
        <f t="shared" si="12"/>
        <v>0</v>
      </c>
      <c r="L70" s="5">
        <f>SUM(E70:K70)</f>
        <v>804740</v>
      </c>
      <c r="N70" s="47"/>
    </row>
    <row r="71" spans="1:15" x14ac:dyDescent="0.25">
      <c r="A71" s="15" t="s">
        <v>177</v>
      </c>
      <c r="B71" s="7" t="s">
        <v>182</v>
      </c>
      <c r="C71" s="7">
        <f>SUM(C72)</f>
        <v>63700</v>
      </c>
      <c r="D71" s="7">
        <f>SUM(D72)</f>
        <v>58609</v>
      </c>
      <c r="E71" s="6">
        <f>E72</f>
        <v>70044</v>
      </c>
      <c r="F71" s="6">
        <f t="shared" ref="F71:K71" si="13">F72</f>
        <v>0</v>
      </c>
      <c r="G71" s="6">
        <f t="shared" si="13"/>
        <v>0</v>
      </c>
      <c r="H71" s="6">
        <f t="shared" si="13"/>
        <v>0</v>
      </c>
      <c r="I71" s="6">
        <f t="shared" si="13"/>
        <v>0</v>
      </c>
      <c r="J71" s="6">
        <f t="shared" si="13"/>
        <v>0</v>
      </c>
      <c r="K71" s="6">
        <f t="shared" si="13"/>
        <v>0</v>
      </c>
      <c r="L71" s="5">
        <f t="shared" ref="L71:L72" si="14">SUM(E71:K71)</f>
        <v>70044</v>
      </c>
      <c r="N71" s="47"/>
    </row>
    <row r="72" spans="1:15" x14ac:dyDescent="0.25">
      <c r="A72" s="15"/>
      <c r="B72" s="23" t="s">
        <v>179</v>
      </c>
      <c r="C72" s="23">
        <v>63700</v>
      </c>
      <c r="D72" s="23">
        <v>58609</v>
      </c>
      <c r="E72" s="24">
        <v>70044</v>
      </c>
      <c r="F72" s="24"/>
      <c r="G72" s="24"/>
      <c r="H72" s="24"/>
      <c r="I72" s="24"/>
      <c r="J72" s="24"/>
      <c r="K72" s="24"/>
      <c r="L72" s="25">
        <f t="shared" si="14"/>
        <v>70044</v>
      </c>
      <c r="N72" s="47"/>
    </row>
    <row r="73" spans="1:15" ht="27.6" x14ac:dyDescent="0.25">
      <c r="A73" s="15" t="s">
        <v>178</v>
      </c>
      <c r="B73" s="7" t="s">
        <v>181</v>
      </c>
      <c r="C73" s="7">
        <v>620347</v>
      </c>
      <c r="D73" s="7">
        <v>567829</v>
      </c>
      <c r="E73" s="6">
        <f>336105+30000</f>
        <v>366105</v>
      </c>
      <c r="F73" s="6"/>
      <c r="G73" s="6"/>
      <c r="H73" s="6">
        <v>8888</v>
      </c>
      <c r="I73" s="6">
        <f>9500+350203</f>
        <v>359703</v>
      </c>
      <c r="J73" s="6"/>
      <c r="K73" s="6"/>
      <c r="L73" s="5">
        <f t="shared" si="9"/>
        <v>734696</v>
      </c>
      <c r="N73" s="41"/>
    </row>
    <row r="74" spans="1:15" ht="41.4" x14ac:dyDescent="0.25">
      <c r="A74" s="15">
        <v>19</v>
      </c>
      <c r="B74" s="7" t="s">
        <v>204</v>
      </c>
      <c r="C74" s="7">
        <f>SUM(C75:C82)</f>
        <v>3986585</v>
      </c>
      <c r="D74" s="7">
        <f>SUM(D75:D82)</f>
        <v>3919024</v>
      </c>
      <c r="E74" s="6">
        <f>SUM(E75:E82)</f>
        <v>3281000</v>
      </c>
      <c r="F74" s="6">
        <f t="shared" ref="F74:K74" si="15">SUM(F75:F82)</f>
        <v>929560</v>
      </c>
      <c r="G74" s="6">
        <f t="shared" si="15"/>
        <v>0</v>
      </c>
      <c r="H74" s="6">
        <f t="shared" si="15"/>
        <v>0</v>
      </c>
      <c r="I74" s="6">
        <f t="shared" si="15"/>
        <v>0</v>
      </c>
      <c r="J74" s="6">
        <f t="shared" si="15"/>
        <v>0</v>
      </c>
      <c r="K74" s="6">
        <f t="shared" si="15"/>
        <v>0</v>
      </c>
      <c r="L74" s="5">
        <f t="shared" si="9"/>
        <v>4210560</v>
      </c>
      <c r="N74" s="47"/>
    </row>
    <row r="75" spans="1:15" x14ac:dyDescent="0.25">
      <c r="A75" s="15"/>
      <c r="B75" s="23" t="s">
        <v>36</v>
      </c>
      <c r="C75" s="23">
        <v>2214773</v>
      </c>
      <c r="D75" s="23">
        <v>2190927</v>
      </c>
      <c r="E75" s="24">
        <f>2450000-300000-60000</f>
        <v>2090000</v>
      </c>
      <c r="F75" s="24"/>
      <c r="G75" s="24"/>
      <c r="H75" s="24"/>
      <c r="I75" s="24"/>
      <c r="J75" s="24"/>
      <c r="K75" s="24"/>
      <c r="L75" s="25">
        <f t="shared" si="9"/>
        <v>2090000</v>
      </c>
      <c r="N75" s="41"/>
    </row>
    <row r="76" spans="1:15" ht="27.6" x14ac:dyDescent="0.25">
      <c r="A76" s="15"/>
      <c r="B76" s="23" t="s">
        <v>37</v>
      </c>
      <c r="C76" s="23">
        <v>157705</v>
      </c>
      <c r="D76" s="23">
        <v>156743</v>
      </c>
      <c r="E76" s="24">
        <v>180000</v>
      </c>
      <c r="F76" s="24"/>
      <c r="G76" s="24"/>
      <c r="H76" s="24"/>
      <c r="I76" s="24"/>
      <c r="J76" s="24"/>
      <c r="K76" s="24"/>
      <c r="L76" s="25">
        <f t="shared" si="9"/>
        <v>180000</v>
      </c>
      <c r="N76" s="47"/>
    </row>
    <row r="77" spans="1:15" ht="27.6" x14ac:dyDescent="0.25">
      <c r="A77" s="15"/>
      <c r="B77" s="23" t="s">
        <v>38</v>
      </c>
      <c r="C77" s="23">
        <v>749976</v>
      </c>
      <c r="D77" s="23">
        <v>747509</v>
      </c>
      <c r="E77" s="24">
        <v>1000000</v>
      </c>
      <c r="F77" s="24"/>
      <c r="G77" s="24"/>
      <c r="H77" s="24"/>
      <c r="I77" s="24"/>
      <c r="J77" s="24"/>
      <c r="K77" s="24"/>
      <c r="L77" s="25">
        <f t="shared" si="9"/>
        <v>1000000</v>
      </c>
      <c r="N77" s="41" t="s">
        <v>252</v>
      </c>
    </row>
    <row r="78" spans="1:15" x14ac:dyDescent="0.25">
      <c r="A78" s="15"/>
      <c r="B78" s="23" t="s">
        <v>39</v>
      </c>
      <c r="C78" s="23">
        <v>261500</v>
      </c>
      <c r="D78" s="23">
        <v>232740</v>
      </c>
      <c r="E78" s="24">
        <v>0</v>
      </c>
      <c r="F78" s="24">
        <v>258472</v>
      </c>
      <c r="G78" s="24"/>
      <c r="H78" s="24"/>
      <c r="I78" s="24"/>
      <c r="J78" s="24"/>
      <c r="K78" s="24"/>
      <c r="L78" s="25">
        <f t="shared" si="9"/>
        <v>258472</v>
      </c>
      <c r="N78" s="47"/>
    </row>
    <row r="79" spans="1:15" ht="27.6" x14ac:dyDescent="0.25">
      <c r="A79" s="15"/>
      <c r="B79" s="23" t="s">
        <v>40</v>
      </c>
      <c r="C79" s="23">
        <v>128900</v>
      </c>
      <c r="D79" s="23">
        <v>125300</v>
      </c>
      <c r="E79" s="24">
        <v>0</v>
      </c>
      <c r="F79" s="24">
        <v>133200</v>
      </c>
      <c r="G79" s="24"/>
      <c r="H79" s="24"/>
      <c r="I79" s="24"/>
      <c r="J79" s="24"/>
      <c r="K79" s="24"/>
      <c r="L79" s="25">
        <f t="shared" si="9"/>
        <v>133200</v>
      </c>
      <c r="N79" s="47"/>
    </row>
    <row r="80" spans="1:15" ht="27.6" x14ac:dyDescent="0.25">
      <c r="A80" s="15"/>
      <c r="B80" s="23" t="s">
        <v>41</v>
      </c>
      <c r="C80" s="23">
        <v>451636</v>
      </c>
      <c r="D80" s="23">
        <v>449395</v>
      </c>
      <c r="E80" s="24">
        <v>0</v>
      </c>
      <c r="F80" s="24">
        <v>501600</v>
      </c>
      <c r="G80" s="24"/>
      <c r="H80" s="24"/>
      <c r="I80" s="24"/>
      <c r="J80" s="24"/>
      <c r="K80" s="24"/>
      <c r="L80" s="25">
        <f t="shared" si="9"/>
        <v>501600</v>
      </c>
      <c r="N80" s="47"/>
    </row>
    <row r="81" spans="1:14" x14ac:dyDescent="0.25">
      <c r="A81" s="15"/>
      <c r="B81" s="23" t="s">
        <v>42</v>
      </c>
      <c r="C81" s="23">
        <v>11000</v>
      </c>
      <c r="D81" s="23">
        <v>9193</v>
      </c>
      <c r="E81" s="24">
        <v>11000</v>
      </c>
      <c r="F81" s="24"/>
      <c r="G81" s="24"/>
      <c r="H81" s="24"/>
      <c r="I81" s="24"/>
      <c r="J81" s="24"/>
      <c r="K81" s="24"/>
      <c r="L81" s="25">
        <f t="shared" si="9"/>
        <v>11000</v>
      </c>
      <c r="N81" s="47"/>
    </row>
    <row r="82" spans="1:14" ht="27.6" x14ac:dyDescent="0.25">
      <c r="A82" s="15"/>
      <c r="B82" s="23" t="s">
        <v>43</v>
      </c>
      <c r="C82" s="23">
        <v>11095</v>
      </c>
      <c r="D82" s="23">
        <v>7217</v>
      </c>
      <c r="E82" s="24">
        <v>0</v>
      </c>
      <c r="F82" s="24">
        <v>36288</v>
      </c>
      <c r="G82" s="24"/>
      <c r="H82" s="24"/>
      <c r="I82" s="24"/>
      <c r="J82" s="24"/>
      <c r="K82" s="24"/>
      <c r="L82" s="25">
        <f t="shared" si="9"/>
        <v>36288</v>
      </c>
      <c r="N82" s="47"/>
    </row>
    <row r="83" spans="1:14" ht="69" x14ac:dyDescent="0.25">
      <c r="A83" s="14">
        <v>20</v>
      </c>
      <c r="B83" s="29" t="s">
        <v>205</v>
      </c>
      <c r="C83" s="29">
        <f>C84+C85</f>
        <v>1229919</v>
      </c>
      <c r="D83" s="29">
        <f>D84+D85</f>
        <v>847896</v>
      </c>
      <c r="E83" s="10">
        <f>E84+E85</f>
        <v>797520</v>
      </c>
      <c r="F83" s="10">
        <f t="shared" ref="F83:K83" si="16">F84+F85</f>
        <v>276610</v>
      </c>
      <c r="G83" s="10">
        <f t="shared" si="16"/>
        <v>0</v>
      </c>
      <c r="H83" s="10">
        <f t="shared" si="16"/>
        <v>0</v>
      </c>
      <c r="I83" s="10">
        <f t="shared" si="16"/>
        <v>11823</v>
      </c>
      <c r="J83" s="10">
        <f t="shared" si="16"/>
        <v>147296</v>
      </c>
      <c r="K83" s="10">
        <f t="shared" si="16"/>
        <v>0</v>
      </c>
      <c r="L83" s="10">
        <f t="shared" si="9"/>
        <v>1233249</v>
      </c>
      <c r="N83" s="47"/>
    </row>
    <row r="84" spans="1:14" ht="69" x14ac:dyDescent="0.25">
      <c r="A84" s="15">
        <v>21</v>
      </c>
      <c r="B84" s="7" t="s">
        <v>206</v>
      </c>
      <c r="C84" s="7">
        <v>324948</v>
      </c>
      <c r="D84" s="7">
        <v>324137</v>
      </c>
      <c r="E84" s="6">
        <v>57520</v>
      </c>
      <c r="F84" s="6">
        <v>274710</v>
      </c>
      <c r="G84" s="6"/>
      <c r="H84" s="6"/>
      <c r="I84" s="6">
        <v>4500</v>
      </c>
      <c r="J84" s="6"/>
      <c r="K84" s="6"/>
      <c r="L84" s="5">
        <f t="shared" si="9"/>
        <v>336730</v>
      </c>
      <c r="N84" s="47"/>
    </row>
    <row r="85" spans="1:14" ht="41.4" x14ac:dyDescent="0.25">
      <c r="A85" s="15">
        <v>22</v>
      </c>
      <c r="B85" s="7" t="s">
        <v>207</v>
      </c>
      <c r="C85" s="6">
        <f>SUM(C86:C94)</f>
        <v>904971</v>
      </c>
      <c r="D85" s="6">
        <f>SUM(D86:D94)</f>
        <v>523759</v>
      </c>
      <c r="E85" s="6">
        <f>SUM(E86:E94)</f>
        <v>740000</v>
      </c>
      <c r="F85" s="6">
        <f t="shared" ref="F85:K85" si="17">SUM(F86:F94)</f>
        <v>1900</v>
      </c>
      <c r="G85" s="6">
        <f t="shared" si="17"/>
        <v>0</v>
      </c>
      <c r="H85" s="6">
        <f t="shared" si="17"/>
        <v>0</v>
      </c>
      <c r="I85" s="6">
        <f t="shared" si="17"/>
        <v>7323</v>
      </c>
      <c r="J85" s="6">
        <f t="shared" si="17"/>
        <v>147296</v>
      </c>
      <c r="K85" s="6">
        <f t="shared" si="17"/>
        <v>0</v>
      </c>
      <c r="L85" s="5">
        <f>SUM(E85:K85)</f>
        <v>896519</v>
      </c>
      <c r="N85" s="47"/>
    </row>
    <row r="86" spans="1:14" ht="27.6" x14ac:dyDescent="0.25">
      <c r="A86" s="15"/>
      <c r="B86" s="26" t="s">
        <v>44</v>
      </c>
      <c r="C86" s="31">
        <v>330000</v>
      </c>
      <c r="D86" s="31">
        <v>329999</v>
      </c>
      <c r="E86" s="24">
        <v>400000</v>
      </c>
      <c r="F86" s="24"/>
      <c r="G86" s="24"/>
      <c r="H86" s="24"/>
      <c r="I86" s="24"/>
      <c r="J86" s="24"/>
      <c r="K86" s="24"/>
      <c r="L86" s="25">
        <f t="shared" si="9"/>
        <v>400000</v>
      </c>
      <c r="N86" s="41" t="s">
        <v>254</v>
      </c>
    </row>
    <row r="87" spans="1:14" ht="27.6" x14ac:dyDescent="0.25">
      <c r="A87" s="15"/>
      <c r="B87" s="26" t="s">
        <v>45</v>
      </c>
      <c r="C87" s="31">
        <f>220391-40391</f>
        <v>180000</v>
      </c>
      <c r="D87" s="31">
        <v>180000</v>
      </c>
      <c r="E87" s="24">
        <v>340000</v>
      </c>
      <c r="F87" s="24"/>
      <c r="G87" s="24"/>
      <c r="H87" s="24"/>
      <c r="I87" s="24"/>
      <c r="J87" s="24"/>
      <c r="K87" s="24"/>
      <c r="L87" s="25">
        <f t="shared" si="9"/>
        <v>340000</v>
      </c>
      <c r="N87" s="41" t="s">
        <v>255</v>
      </c>
    </row>
    <row r="88" spans="1:14" ht="27.6" x14ac:dyDescent="0.25">
      <c r="A88" s="15"/>
      <c r="B88" s="26" t="s">
        <v>142</v>
      </c>
      <c r="C88" s="31">
        <v>40391</v>
      </c>
      <c r="D88" s="26"/>
      <c r="E88" s="24"/>
      <c r="F88" s="24"/>
      <c r="G88" s="24"/>
      <c r="H88" s="24"/>
      <c r="I88" s="24"/>
      <c r="J88" s="24"/>
      <c r="K88" s="24"/>
      <c r="L88" s="25">
        <f t="shared" si="9"/>
        <v>0</v>
      </c>
      <c r="N88" s="47"/>
    </row>
    <row r="89" spans="1:14" x14ac:dyDescent="0.25">
      <c r="A89" s="15"/>
      <c r="B89" s="26" t="s">
        <v>46</v>
      </c>
      <c r="C89" s="31">
        <v>1400</v>
      </c>
      <c r="D89" s="31">
        <v>1400</v>
      </c>
      <c r="E89" s="24"/>
      <c r="F89" s="24">
        <v>1900</v>
      </c>
      <c r="G89" s="24"/>
      <c r="H89" s="24"/>
      <c r="I89" s="24"/>
      <c r="J89" s="24"/>
      <c r="K89" s="24"/>
      <c r="L89" s="25">
        <f>SUM(E89:K89)</f>
        <v>1900</v>
      </c>
      <c r="N89" s="47"/>
    </row>
    <row r="90" spans="1:14" ht="27.6" x14ac:dyDescent="0.25">
      <c r="A90" s="15"/>
      <c r="B90" s="23" t="s">
        <v>156</v>
      </c>
      <c r="C90" s="23">
        <v>12360</v>
      </c>
      <c r="D90" s="23">
        <v>12360</v>
      </c>
      <c r="E90" s="24"/>
      <c r="F90" s="24"/>
      <c r="G90" s="24"/>
      <c r="H90" s="24"/>
      <c r="I90" s="24">
        <v>7323</v>
      </c>
      <c r="J90" s="24"/>
      <c r="K90" s="24"/>
      <c r="L90" s="25">
        <f t="shared" si="9"/>
        <v>7323</v>
      </c>
      <c r="N90" s="47"/>
    </row>
    <row r="91" spans="1:14" ht="41.4" x14ac:dyDescent="0.25">
      <c r="A91" s="15"/>
      <c r="B91" s="23" t="s">
        <v>187</v>
      </c>
      <c r="C91" s="23">
        <v>299314</v>
      </c>
      <c r="D91" s="23"/>
      <c r="E91" s="24"/>
      <c r="F91" s="24"/>
      <c r="G91" s="24"/>
      <c r="H91" s="24"/>
      <c r="I91" s="24"/>
      <c r="J91" s="24">
        <f>7391+51791</f>
        <v>59182</v>
      </c>
      <c r="K91" s="24"/>
      <c r="L91" s="25">
        <f t="shared" ref="L91" si="18">SUM(E91:K91)</f>
        <v>59182</v>
      </c>
      <c r="N91" s="47"/>
    </row>
    <row r="92" spans="1:14" ht="27.6" x14ac:dyDescent="0.25">
      <c r="A92" s="15"/>
      <c r="B92" s="23" t="s">
        <v>228</v>
      </c>
      <c r="C92" s="23">
        <v>3001</v>
      </c>
      <c r="D92" s="23"/>
      <c r="E92" s="24"/>
      <c r="F92" s="24"/>
      <c r="G92" s="24"/>
      <c r="H92" s="24"/>
      <c r="I92" s="24"/>
      <c r="J92" s="24">
        <v>3001</v>
      </c>
      <c r="K92" s="24"/>
      <c r="L92" s="25">
        <f t="shared" ref="L92:L94" si="19">SUM(E92:K92)</f>
        <v>3001</v>
      </c>
      <c r="N92" s="47"/>
    </row>
    <row r="93" spans="1:14" ht="27.6" x14ac:dyDescent="0.25">
      <c r="A93" s="15"/>
      <c r="B93" s="23" t="s">
        <v>229</v>
      </c>
      <c r="C93" s="23">
        <v>38505</v>
      </c>
      <c r="D93" s="23"/>
      <c r="E93" s="24"/>
      <c r="F93" s="24"/>
      <c r="G93" s="24"/>
      <c r="H93" s="24"/>
      <c r="I93" s="24"/>
      <c r="J93" s="24">
        <v>2319</v>
      </c>
      <c r="K93" s="24"/>
      <c r="L93" s="25">
        <f t="shared" si="19"/>
        <v>2319</v>
      </c>
      <c r="N93" s="47"/>
    </row>
    <row r="94" spans="1:14" ht="27.6" x14ac:dyDescent="0.25">
      <c r="A94" s="15"/>
      <c r="B94" s="23" t="s">
        <v>239</v>
      </c>
      <c r="C94" s="23"/>
      <c r="D94" s="23"/>
      <c r="E94" s="24"/>
      <c r="F94" s="24"/>
      <c r="G94" s="24"/>
      <c r="H94" s="24"/>
      <c r="I94" s="24"/>
      <c r="J94" s="24">
        <v>82794</v>
      </c>
      <c r="K94" s="24"/>
      <c r="L94" s="25">
        <f t="shared" si="19"/>
        <v>82794</v>
      </c>
      <c r="N94" s="47"/>
    </row>
    <row r="95" spans="1:14" ht="55.2" x14ac:dyDescent="0.25">
      <c r="A95" s="14">
        <v>23</v>
      </c>
      <c r="B95" s="29" t="s">
        <v>208</v>
      </c>
      <c r="C95" s="29">
        <f>C96+C97+C98+C99+C100+C101+C102+C103+C112</f>
        <v>3648614</v>
      </c>
      <c r="D95" s="29">
        <f t="shared" ref="D95:K95" si="20">D96+D97+D98+D99+D100+D101+D102+D103+D112</f>
        <v>3724942</v>
      </c>
      <c r="E95" s="29">
        <f t="shared" si="20"/>
        <v>3777840</v>
      </c>
      <c r="F95" s="29">
        <f t="shared" si="20"/>
        <v>0</v>
      </c>
      <c r="G95" s="29">
        <f t="shared" si="20"/>
        <v>0</v>
      </c>
      <c r="H95" s="29">
        <f t="shared" si="20"/>
        <v>30672</v>
      </c>
      <c r="I95" s="29">
        <f t="shared" si="20"/>
        <v>135360</v>
      </c>
      <c r="J95" s="29">
        <f t="shared" si="20"/>
        <v>0</v>
      </c>
      <c r="K95" s="29">
        <f t="shared" si="20"/>
        <v>0</v>
      </c>
      <c r="L95" s="10">
        <f>SUM(E95:K95)</f>
        <v>3943872</v>
      </c>
      <c r="N95" s="47"/>
    </row>
    <row r="96" spans="1:14" ht="55.2" x14ac:dyDescent="0.25">
      <c r="A96" s="15">
        <v>24</v>
      </c>
      <c r="B96" s="7" t="s">
        <v>209</v>
      </c>
      <c r="C96" s="7">
        <f>1185956-49956-5500</f>
        <v>1130500</v>
      </c>
      <c r="D96" s="7">
        <v>1185437</v>
      </c>
      <c r="E96" s="6">
        <v>1121530</v>
      </c>
      <c r="F96" s="6"/>
      <c r="G96" s="6"/>
      <c r="H96" s="6"/>
      <c r="I96" s="6">
        <v>78000</v>
      </c>
      <c r="J96" s="6"/>
      <c r="K96" s="6"/>
      <c r="L96" s="5">
        <f t="shared" si="9"/>
        <v>1199530</v>
      </c>
      <c r="N96" s="48"/>
    </row>
    <row r="97" spans="1:14" ht="55.2" x14ac:dyDescent="0.25">
      <c r="A97" s="15">
        <v>25</v>
      </c>
      <c r="B97" s="7" t="s">
        <v>210</v>
      </c>
      <c r="C97" s="7">
        <f>211020-3200-3080</f>
        <v>204740</v>
      </c>
      <c r="D97" s="7">
        <f>206159</f>
        <v>206159</v>
      </c>
      <c r="E97" s="6">
        <v>216130</v>
      </c>
      <c r="F97" s="6"/>
      <c r="G97" s="6"/>
      <c r="H97" s="6"/>
      <c r="I97" s="6">
        <v>2160</v>
      </c>
      <c r="J97" s="6"/>
      <c r="K97" s="6"/>
      <c r="L97" s="5">
        <f t="shared" si="9"/>
        <v>218290</v>
      </c>
      <c r="N97" s="48"/>
    </row>
    <row r="98" spans="1:14" ht="55.2" x14ac:dyDescent="0.25">
      <c r="A98" s="15">
        <v>26</v>
      </c>
      <c r="B98" s="7" t="s">
        <v>211</v>
      </c>
      <c r="C98" s="7">
        <f>232020-25500-4620</f>
        <v>201900</v>
      </c>
      <c r="D98" s="7">
        <f>231317</f>
        <v>231317</v>
      </c>
      <c r="E98" s="6">
        <v>233370</v>
      </c>
      <c r="F98" s="6"/>
      <c r="G98" s="6"/>
      <c r="H98" s="6"/>
      <c r="I98" s="6">
        <v>600</v>
      </c>
      <c r="J98" s="6"/>
      <c r="K98" s="6"/>
      <c r="L98" s="5">
        <f t="shared" si="9"/>
        <v>233970</v>
      </c>
      <c r="N98" s="48"/>
    </row>
    <row r="99" spans="1:14" ht="69" x14ac:dyDescent="0.25">
      <c r="A99" s="15">
        <v>27</v>
      </c>
      <c r="B99" s="7" t="s">
        <v>212</v>
      </c>
      <c r="C99" s="7">
        <f>215300-25000</f>
        <v>190300</v>
      </c>
      <c r="D99" s="7">
        <v>206916</v>
      </c>
      <c r="E99" s="6">
        <v>191730</v>
      </c>
      <c r="F99" s="6"/>
      <c r="G99" s="6"/>
      <c r="H99" s="6"/>
      <c r="I99" s="6">
        <v>4400</v>
      </c>
      <c r="J99" s="6"/>
      <c r="K99" s="6"/>
      <c r="L99" s="5">
        <f>SUM(E99:K99)</f>
        <v>196130</v>
      </c>
      <c r="N99" s="48"/>
    </row>
    <row r="100" spans="1:14" ht="55.2" x14ac:dyDescent="0.25">
      <c r="A100" s="15">
        <v>28</v>
      </c>
      <c r="B100" s="7" t="s">
        <v>213</v>
      </c>
      <c r="C100" s="7">
        <v>119500</v>
      </c>
      <c r="D100" s="7">
        <f>117510+600</f>
        <v>118110</v>
      </c>
      <c r="E100" s="6">
        <v>127500</v>
      </c>
      <c r="F100" s="6"/>
      <c r="G100" s="6"/>
      <c r="H100" s="6"/>
      <c r="I100" s="6">
        <v>500</v>
      </c>
      <c r="J100" s="6"/>
      <c r="K100" s="6"/>
      <c r="L100" s="5">
        <f t="shared" si="9"/>
        <v>128000</v>
      </c>
      <c r="N100" s="48"/>
    </row>
    <row r="101" spans="1:14" ht="69" x14ac:dyDescent="0.25">
      <c r="A101" s="15">
        <v>29</v>
      </c>
      <c r="B101" s="7" t="s">
        <v>214</v>
      </c>
      <c r="C101" s="7">
        <f>1213802-45450-6148</f>
        <v>1162204</v>
      </c>
      <c r="D101" s="7">
        <f>1209919</f>
        <v>1209919</v>
      </c>
      <c r="E101" s="6">
        <v>1203800</v>
      </c>
      <c r="F101" s="6"/>
      <c r="G101" s="6"/>
      <c r="H101" s="6">
        <v>30672</v>
      </c>
      <c r="I101" s="6">
        <v>11000</v>
      </c>
      <c r="J101" s="6"/>
      <c r="K101" s="6"/>
      <c r="L101" s="5">
        <f t="shared" si="9"/>
        <v>1245472</v>
      </c>
      <c r="N101" s="48"/>
    </row>
    <row r="102" spans="1:14" ht="69" x14ac:dyDescent="0.25">
      <c r="A102" s="15">
        <v>30</v>
      </c>
      <c r="B102" s="7" t="s">
        <v>143</v>
      </c>
      <c r="C102" s="7">
        <f>505231-9600-7161</f>
        <v>488470</v>
      </c>
      <c r="D102" s="7">
        <f>493341</f>
        <v>493341</v>
      </c>
      <c r="E102" s="6">
        <v>313300</v>
      </c>
      <c r="F102" s="6"/>
      <c r="G102" s="6"/>
      <c r="H102" s="6"/>
      <c r="I102" s="6">
        <v>23700</v>
      </c>
      <c r="J102" s="6"/>
      <c r="K102" s="6"/>
      <c r="L102" s="5">
        <f t="shared" si="9"/>
        <v>337000</v>
      </c>
      <c r="N102" s="48"/>
    </row>
    <row r="103" spans="1:14" ht="41.4" x14ac:dyDescent="0.25">
      <c r="A103" s="15">
        <v>31</v>
      </c>
      <c r="B103" s="7" t="s">
        <v>215</v>
      </c>
      <c r="C103" s="7">
        <f>SUM(C104:C111)</f>
        <v>151000</v>
      </c>
      <c r="D103" s="7">
        <f>SUM(D104:D111)</f>
        <v>73743</v>
      </c>
      <c r="E103" s="6">
        <f>SUM(E104:E111)</f>
        <v>177000</v>
      </c>
      <c r="F103" s="6">
        <f t="shared" ref="F103:K103" si="21">SUM(F104:F111)</f>
        <v>0</v>
      </c>
      <c r="G103" s="6">
        <f t="shared" si="21"/>
        <v>0</v>
      </c>
      <c r="H103" s="6">
        <f t="shared" si="21"/>
        <v>0</v>
      </c>
      <c r="I103" s="6">
        <f t="shared" si="21"/>
        <v>0</v>
      </c>
      <c r="J103" s="6">
        <f t="shared" si="21"/>
        <v>0</v>
      </c>
      <c r="K103" s="6">
        <f t="shared" si="21"/>
        <v>0</v>
      </c>
      <c r="L103" s="5">
        <f t="shared" si="9"/>
        <v>177000</v>
      </c>
      <c r="N103" s="47"/>
    </row>
    <row r="104" spans="1:14" ht="27.6" x14ac:dyDescent="0.25">
      <c r="A104" s="15"/>
      <c r="B104" s="26" t="s">
        <v>47</v>
      </c>
      <c r="C104" s="31">
        <v>19000</v>
      </c>
      <c r="D104" s="31">
        <v>19000</v>
      </c>
      <c r="E104" s="24">
        <v>19000</v>
      </c>
      <c r="F104" s="24"/>
      <c r="G104" s="24"/>
      <c r="H104" s="24"/>
      <c r="I104" s="24"/>
      <c r="J104" s="24"/>
      <c r="K104" s="24"/>
      <c r="L104" s="25">
        <f t="shared" ref="L104:L140" si="22">SUM(E104:K104)</f>
        <v>19000</v>
      </c>
      <c r="N104" s="47" t="s">
        <v>256</v>
      </c>
    </row>
    <row r="105" spans="1:14" ht="27.6" x14ac:dyDescent="0.25">
      <c r="A105" s="15"/>
      <c r="B105" s="26" t="s">
        <v>48</v>
      </c>
      <c r="C105" s="31">
        <v>3000</v>
      </c>
      <c r="D105" s="31">
        <v>3000</v>
      </c>
      <c r="E105" s="24">
        <v>4000</v>
      </c>
      <c r="F105" s="24"/>
      <c r="G105" s="24"/>
      <c r="H105" s="24"/>
      <c r="I105" s="24"/>
      <c r="J105" s="24"/>
      <c r="K105" s="24"/>
      <c r="L105" s="25">
        <f t="shared" si="22"/>
        <v>4000</v>
      </c>
      <c r="N105" s="47"/>
    </row>
    <row r="106" spans="1:14" x14ac:dyDescent="0.25">
      <c r="A106" s="15"/>
      <c r="B106" s="26" t="s">
        <v>49</v>
      </c>
      <c r="C106" s="31">
        <v>6000</v>
      </c>
      <c r="D106" s="31">
        <v>6000</v>
      </c>
      <c r="E106" s="24">
        <v>6000</v>
      </c>
      <c r="F106" s="24"/>
      <c r="G106" s="24"/>
      <c r="H106" s="24"/>
      <c r="I106" s="24"/>
      <c r="J106" s="24"/>
      <c r="K106" s="24"/>
      <c r="L106" s="25">
        <f t="shared" si="22"/>
        <v>6000</v>
      </c>
      <c r="N106" s="49"/>
    </row>
    <row r="107" spans="1:14" ht="27.6" x14ac:dyDescent="0.25">
      <c r="A107" s="15"/>
      <c r="B107" s="26" t="s">
        <v>50</v>
      </c>
      <c r="C107" s="23">
        <v>20000</v>
      </c>
      <c r="D107" s="23">
        <v>19281</v>
      </c>
      <c r="E107" s="24"/>
      <c r="F107" s="24"/>
      <c r="G107" s="24"/>
      <c r="H107" s="24"/>
      <c r="I107" s="24"/>
      <c r="J107" s="24"/>
      <c r="K107" s="24"/>
      <c r="L107" s="25">
        <f t="shared" si="22"/>
        <v>0</v>
      </c>
      <c r="N107" s="49"/>
    </row>
    <row r="108" spans="1:14" ht="27.6" x14ac:dyDescent="0.25">
      <c r="A108" s="15"/>
      <c r="B108" s="26" t="s">
        <v>230</v>
      </c>
      <c r="C108" s="23">
        <v>11000</v>
      </c>
      <c r="D108" s="23">
        <v>11000</v>
      </c>
      <c r="E108" s="24">
        <v>4000</v>
      </c>
      <c r="F108" s="24"/>
      <c r="G108" s="24"/>
      <c r="H108" s="24"/>
      <c r="I108" s="24"/>
      <c r="J108" s="24"/>
      <c r="K108" s="24"/>
      <c r="L108" s="25">
        <f t="shared" si="22"/>
        <v>4000</v>
      </c>
      <c r="N108" s="41" t="s">
        <v>280</v>
      </c>
    </row>
    <row r="109" spans="1:14" ht="27.6" x14ac:dyDescent="0.25">
      <c r="A109" s="15"/>
      <c r="B109" s="26" t="s">
        <v>51</v>
      </c>
      <c r="C109" s="23">
        <v>12000</v>
      </c>
      <c r="D109" s="23">
        <v>12000</v>
      </c>
      <c r="E109" s="24">
        <v>15000</v>
      </c>
      <c r="F109" s="24"/>
      <c r="G109" s="24"/>
      <c r="H109" s="24"/>
      <c r="I109" s="24"/>
      <c r="J109" s="24"/>
      <c r="K109" s="24"/>
      <c r="L109" s="25">
        <f t="shared" si="22"/>
        <v>15000</v>
      </c>
      <c r="N109" s="47"/>
    </row>
    <row r="110" spans="1:14" ht="27.6" x14ac:dyDescent="0.25">
      <c r="A110" s="15"/>
      <c r="B110" s="23" t="s">
        <v>52</v>
      </c>
      <c r="C110" s="23">
        <v>10000</v>
      </c>
      <c r="D110" s="23"/>
      <c r="E110" s="24">
        <v>26000</v>
      </c>
      <c r="F110" s="24"/>
      <c r="G110" s="24"/>
      <c r="H110" s="24"/>
      <c r="I110" s="24"/>
      <c r="J110" s="24"/>
      <c r="K110" s="24"/>
      <c r="L110" s="25">
        <f t="shared" si="22"/>
        <v>26000</v>
      </c>
      <c r="N110" s="41" t="s">
        <v>281</v>
      </c>
    </row>
    <row r="111" spans="1:14" s="8" customFormat="1" ht="39.6" x14ac:dyDescent="0.25">
      <c r="A111" s="15"/>
      <c r="B111" s="26" t="s">
        <v>53</v>
      </c>
      <c r="C111" s="23">
        <v>70000</v>
      </c>
      <c r="D111" s="23">
        <v>3462</v>
      </c>
      <c r="E111" s="40">
        <v>103000</v>
      </c>
      <c r="F111" s="24"/>
      <c r="G111" s="24"/>
      <c r="H111" s="24"/>
      <c r="I111" s="24"/>
      <c r="J111" s="24"/>
      <c r="K111" s="24"/>
      <c r="L111" s="25">
        <f t="shared" si="22"/>
        <v>103000</v>
      </c>
      <c r="N111" s="51" t="s">
        <v>282</v>
      </c>
    </row>
    <row r="112" spans="1:14" ht="55.2" x14ac:dyDescent="0.25">
      <c r="A112" s="15">
        <v>32</v>
      </c>
      <c r="B112" s="7" t="s">
        <v>243</v>
      </c>
      <c r="C112" s="7">
        <v>0</v>
      </c>
      <c r="D112" s="7">
        <v>0</v>
      </c>
      <c r="E112" s="6">
        <v>193480</v>
      </c>
      <c r="F112" s="6"/>
      <c r="G112" s="6"/>
      <c r="H112" s="6"/>
      <c r="I112" s="6">
        <v>15000</v>
      </c>
      <c r="J112" s="6"/>
      <c r="K112" s="6"/>
      <c r="L112" s="5">
        <f t="shared" ref="L112" si="23">SUM(E112:K112)</f>
        <v>208480</v>
      </c>
      <c r="M112" s="8"/>
      <c r="N112" s="48"/>
    </row>
    <row r="113" spans="1:14" ht="69" x14ac:dyDescent="0.25">
      <c r="A113" s="14">
        <v>33</v>
      </c>
      <c r="B113" s="29" t="s">
        <v>216</v>
      </c>
      <c r="C113" s="29">
        <f>C114+C118</f>
        <v>920290</v>
      </c>
      <c r="D113" s="29">
        <f>D114+D118</f>
        <v>988094</v>
      </c>
      <c r="E113" s="10">
        <f>E114+E118</f>
        <v>1017800</v>
      </c>
      <c r="F113" s="10">
        <f t="shared" ref="F113:K113" si="24">F114+F118</f>
        <v>0</v>
      </c>
      <c r="G113" s="10">
        <f t="shared" si="24"/>
        <v>0</v>
      </c>
      <c r="H113" s="10">
        <f t="shared" si="24"/>
        <v>22000</v>
      </c>
      <c r="I113" s="10">
        <f t="shared" si="24"/>
        <v>28035</v>
      </c>
      <c r="J113" s="10">
        <f t="shared" si="24"/>
        <v>0</v>
      </c>
      <c r="K113" s="10">
        <f t="shared" si="24"/>
        <v>0</v>
      </c>
      <c r="L113" s="10">
        <f t="shared" si="22"/>
        <v>1067835</v>
      </c>
      <c r="N113" s="47"/>
    </row>
    <row r="114" spans="1:14" ht="69" x14ac:dyDescent="0.25">
      <c r="A114" s="15">
        <v>34</v>
      </c>
      <c r="B114" s="7" t="s">
        <v>217</v>
      </c>
      <c r="C114" s="7">
        <f>SUM(C115:C117)</f>
        <v>720290</v>
      </c>
      <c r="D114" s="7">
        <f>SUM(D115:D117)</f>
        <v>788306</v>
      </c>
      <c r="E114" s="6">
        <f>SUM(E115:E117)</f>
        <v>699800</v>
      </c>
      <c r="F114" s="6">
        <f t="shared" ref="F114:K114" si="25">SUM(F115:F117)</f>
        <v>0</v>
      </c>
      <c r="G114" s="6">
        <f t="shared" si="25"/>
        <v>0</v>
      </c>
      <c r="H114" s="6">
        <f t="shared" si="25"/>
        <v>22000</v>
      </c>
      <c r="I114" s="6">
        <f t="shared" si="25"/>
        <v>28035</v>
      </c>
      <c r="J114" s="6">
        <f t="shared" si="25"/>
        <v>0</v>
      </c>
      <c r="K114" s="6">
        <f t="shared" si="25"/>
        <v>0</v>
      </c>
      <c r="L114" s="5">
        <f>SUM(E114:K114)</f>
        <v>749835</v>
      </c>
      <c r="N114" s="47"/>
    </row>
    <row r="115" spans="1:14" x14ac:dyDescent="0.25">
      <c r="A115" s="15"/>
      <c r="B115" s="23" t="s">
        <v>54</v>
      </c>
      <c r="C115" s="23">
        <f>715290-70000</f>
        <v>645290</v>
      </c>
      <c r="D115" s="23">
        <v>713306</v>
      </c>
      <c r="E115" s="24">
        <v>609800</v>
      </c>
      <c r="F115" s="24"/>
      <c r="G115" s="24"/>
      <c r="H115" s="24">
        <v>22000</v>
      </c>
      <c r="I115" s="24">
        <v>28035</v>
      </c>
      <c r="J115" s="24"/>
      <c r="K115" s="24"/>
      <c r="L115" s="25">
        <f t="shared" si="22"/>
        <v>659835</v>
      </c>
      <c r="N115" s="47"/>
    </row>
    <row r="116" spans="1:14" x14ac:dyDescent="0.25">
      <c r="A116" s="15"/>
      <c r="B116" s="23" t="s">
        <v>55</v>
      </c>
      <c r="C116" s="23">
        <v>25000</v>
      </c>
      <c r="D116" s="23">
        <v>25000</v>
      </c>
      <c r="E116" s="24">
        <v>30000</v>
      </c>
      <c r="F116" s="24"/>
      <c r="G116" s="24"/>
      <c r="H116" s="24"/>
      <c r="I116" s="24"/>
      <c r="J116" s="24"/>
      <c r="K116" s="24"/>
      <c r="L116" s="25">
        <f t="shared" si="22"/>
        <v>30000</v>
      </c>
      <c r="N116" s="47"/>
    </row>
    <row r="117" spans="1:14" x14ac:dyDescent="0.25">
      <c r="A117" s="15"/>
      <c r="B117" s="23" t="s">
        <v>56</v>
      </c>
      <c r="C117" s="23">
        <v>50000</v>
      </c>
      <c r="D117" s="23">
        <v>50000</v>
      </c>
      <c r="E117" s="24">
        <v>60000</v>
      </c>
      <c r="F117" s="24"/>
      <c r="G117" s="24"/>
      <c r="H117" s="24"/>
      <c r="I117" s="24"/>
      <c r="J117" s="24"/>
      <c r="K117" s="24"/>
      <c r="L117" s="25">
        <f t="shared" si="22"/>
        <v>60000</v>
      </c>
      <c r="N117" s="47"/>
    </row>
    <row r="118" spans="1:14" ht="55.2" x14ac:dyDescent="0.25">
      <c r="A118" s="15">
        <v>35</v>
      </c>
      <c r="B118" s="7" t="s">
        <v>175</v>
      </c>
      <c r="C118" s="7">
        <f>SUM(C119:C123)</f>
        <v>200000</v>
      </c>
      <c r="D118" s="7">
        <f>SUM(D119:D123)</f>
        <v>199788</v>
      </c>
      <c r="E118" s="6">
        <f>SUM(E119:E123)</f>
        <v>318000</v>
      </c>
      <c r="F118" s="6">
        <f t="shared" ref="F118:K118" si="26">SUM(F119:F123)</f>
        <v>0</v>
      </c>
      <c r="G118" s="6">
        <f t="shared" si="26"/>
        <v>0</v>
      </c>
      <c r="H118" s="6">
        <f t="shared" si="26"/>
        <v>0</v>
      </c>
      <c r="I118" s="6">
        <f t="shared" si="26"/>
        <v>0</v>
      </c>
      <c r="J118" s="6">
        <f t="shared" si="26"/>
        <v>0</v>
      </c>
      <c r="K118" s="6">
        <f t="shared" si="26"/>
        <v>0</v>
      </c>
      <c r="L118" s="5">
        <f>SUM(E118:K118)</f>
        <v>318000</v>
      </c>
      <c r="N118" s="47"/>
    </row>
    <row r="119" spans="1:14" ht="41.4" x14ac:dyDescent="0.25">
      <c r="A119" s="15"/>
      <c r="B119" s="26" t="s">
        <v>57</v>
      </c>
      <c r="C119" s="31">
        <v>155000</v>
      </c>
      <c r="D119" s="31">
        <v>155000</v>
      </c>
      <c r="E119" s="24">
        <v>170000</v>
      </c>
      <c r="F119" s="24"/>
      <c r="G119" s="24"/>
      <c r="H119" s="24"/>
      <c r="I119" s="24"/>
      <c r="J119" s="24"/>
      <c r="K119" s="24"/>
      <c r="L119" s="25">
        <f t="shared" si="22"/>
        <v>170000</v>
      </c>
      <c r="N119" s="47" t="s">
        <v>295</v>
      </c>
    </row>
    <row r="120" spans="1:14" ht="41.4" x14ac:dyDescent="0.25">
      <c r="A120" s="15"/>
      <c r="B120" s="26" t="s">
        <v>176</v>
      </c>
      <c r="C120" s="31">
        <v>20000</v>
      </c>
      <c r="D120" s="31">
        <v>20000</v>
      </c>
      <c r="E120" s="24">
        <v>50000</v>
      </c>
      <c r="F120" s="24"/>
      <c r="G120" s="24"/>
      <c r="H120" s="24"/>
      <c r="I120" s="24"/>
      <c r="J120" s="24"/>
      <c r="K120" s="24"/>
      <c r="L120" s="25">
        <f t="shared" si="22"/>
        <v>50000</v>
      </c>
      <c r="N120" s="47" t="s">
        <v>291</v>
      </c>
    </row>
    <row r="121" spans="1:14" ht="41.4" x14ac:dyDescent="0.25">
      <c r="A121" s="15"/>
      <c r="B121" s="26" t="s">
        <v>236</v>
      </c>
      <c r="C121" s="31"/>
      <c r="D121" s="31"/>
      <c r="E121" s="24">
        <v>50000</v>
      </c>
      <c r="F121" s="24"/>
      <c r="G121" s="24"/>
      <c r="H121" s="24"/>
      <c r="I121" s="24"/>
      <c r="J121" s="24"/>
      <c r="K121" s="24"/>
      <c r="L121" s="25">
        <f t="shared" si="22"/>
        <v>50000</v>
      </c>
      <c r="N121" s="47" t="s">
        <v>296</v>
      </c>
    </row>
    <row r="122" spans="1:14" ht="27.6" x14ac:dyDescent="0.25">
      <c r="A122" s="15"/>
      <c r="B122" s="26" t="s">
        <v>171</v>
      </c>
      <c r="C122" s="31">
        <v>10000</v>
      </c>
      <c r="D122" s="31">
        <v>10000</v>
      </c>
      <c r="E122" s="44">
        <v>30000</v>
      </c>
      <c r="F122" s="24"/>
      <c r="G122" s="24"/>
      <c r="H122" s="24"/>
      <c r="I122" s="24"/>
      <c r="J122" s="24"/>
      <c r="K122" s="24"/>
      <c r="L122" s="25">
        <f t="shared" si="22"/>
        <v>30000</v>
      </c>
      <c r="N122" s="49"/>
    </row>
    <row r="123" spans="1:14" ht="27.6" x14ac:dyDescent="0.25">
      <c r="A123" s="15"/>
      <c r="B123" s="26" t="s">
        <v>58</v>
      </c>
      <c r="C123" s="31">
        <v>15000</v>
      </c>
      <c r="D123" s="31">
        <v>14788</v>
      </c>
      <c r="E123" s="24">
        <v>18000</v>
      </c>
      <c r="F123" s="24"/>
      <c r="G123" s="24"/>
      <c r="H123" s="24"/>
      <c r="I123" s="24"/>
      <c r="J123" s="24"/>
      <c r="K123" s="24"/>
      <c r="L123" s="25">
        <f t="shared" si="22"/>
        <v>18000</v>
      </c>
      <c r="N123" s="49"/>
    </row>
    <row r="124" spans="1:14" ht="55.2" x14ac:dyDescent="0.25">
      <c r="A124" s="14">
        <v>36</v>
      </c>
      <c r="B124" s="29" t="s">
        <v>218</v>
      </c>
      <c r="C124" s="29">
        <f>C125+C126</f>
        <v>1024100</v>
      </c>
      <c r="D124" s="29">
        <f>D125+D126</f>
        <v>1014096</v>
      </c>
      <c r="E124" s="10">
        <f>E125+E126+E129</f>
        <v>59060</v>
      </c>
      <c r="F124" s="10">
        <f t="shared" ref="F124:K124" si="27">F125+F126+F129</f>
        <v>918900</v>
      </c>
      <c r="G124" s="10">
        <f t="shared" si="27"/>
        <v>0</v>
      </c>
      <c r="H124" s="10">
        <f t="shared" si="27"/>
        <v>0</v>
      </c>
      <c r="I124" s="10">
        <f t="shared" si="27"/>
        <v>0</v>
      </c>
      <c r="J124" s="10">
        <f t="shared" si="27"/>
        <v>0</v>
      </c>
      <c r="K124" s="10">
        <f t="shared" si="27"/>
        <v>0</v>
      </c>
      <c r="L124" s="10">
        <f t="shared" si="22"/>
        <v>977960</v>
      </c>
      <c r="N124" s="47"/>
    </row>
    <row r="125" spans="1:14" ht="41.4" x14ac:dyDescent="0.25">
      <c r="A125" s="15">
        <v>37</v>
      </c>
      <c r="B125" s="7" t="s">
        <v>219</v>
      </c>
      <c r="C125" s="7">
        <v>1014100</v>
      </c>
      <c r="D125" s="7">
        <v>1014096</v>
      </c>
      <c r="E125" s="6">
        <v>39060</v>
      </c>
      <c r="F125" s="6">
        <v>900100</v>
      </c>
      <c r="G125" s="6"/>
      <c r="H125" s="6"/>
      <c r="I125" s="6"/>
      <c r="J125" s="6"/>
      <c r="K125" s="6"/>
      <c r="L125" s="5">
        <f t="shared" si="22"/>
        <v>939160</v>
      </c>
      <c r="N125" s="47"/>
    </row>
    <row r="126" spans="1:14" ht="41.4" x14ac:dyDescent="0.25">
      <c r="A126" s="15">
        <v>38</v>
      </c>
      <c r="B126" s="7" t="s">
        <v>220</v>
      </c>
      <c r="C126" s="7">
        <f>SUM(C127:C128)</f>
        <v>10000</v>
      </c>
      <c r="D126" s="7">
        <f>SUM(D127:D128)</f>
        <v>0</v>
      </c>
      <c r="E126" s="6">
        <f>SUM(E127:E128)</f>
        <v>20000</v>
      </c>
      <c r="F126" s="6">
        <f t="shared" ref="F126:K126" si="28">SUM(F127:F128)</f>
        <v>0</v>
      </c>
      <c r="G126" s="6">
        <f t="shared" si="28"/>
        <v>0</v>
      </c>
      <c r="H126" s="6">
        <f t="shared" si="28"/>
        <v>0</v>
      </c>
      <c r="I126" s="6">
        <f t="shared" si="28"/>
        <v>0</v>
      </c>
      <c r="J126" s="6">
        <f t="shared" si="28"/>
        <v>0</v>
      </c>
      <c r="K126" s="6">
        <f t="shared" si="28"/>
        <v>0</v>
      </c>
      <c r="L126" s="5">
        <f t="shared" si="22"/>
        <v>20000</v>
      </c>
      <c r="N126" s="47"/>
    </row>
    <row r="127" spans="1:14" x14ac:dyDescent="0.25">
      <c r="A127" s="15"/>
      <c r="B127" s="24" t="s">
        <v>59</v>
      </c>
      <c r="C127" s="24">
        <v>10000</v>
      </c>
      <c r="D127" s="24"/>
      <c r="E127" s="24">
        <v>10000</v>
      </c>
      <c r="F127" s="24"/>
      <c r="G127" s="24"/>
      <c r="H127" s="24"/>
      <c r="I127" s="24"/>
      <c r="J127" s="24"/>
      <c r="K127" s="24"/>
      <c r="L127" s="25">
        <f t="shared" si="22"/>
        <v>10000</v>
      </c>
      <c r="N127" s="49"/>
    </row>
    <row r="128" spans="1:14" x14ac:dyDescent="0.25">
      <c r="A128" s="15"/>
      <c r="B128" s="24" t="s">
        <v>60</v>
      </c>
      <c r="C128" s="24"/>
      <c r="D128" s="24"/>
      <c r="E128" s="24">
        <v>10000</v>
      </c>
      <c r="F128" s="24"/>
      <c r="G128" s="24"/>
      <c r="H128" s="24"/>
      <c r="I128" s="24"/>
      <c r="J128" s="24"/>
      <c r="K128" s="24"/>
      <c r="L128" s="25">
        <f t="shared" si="22"/>
        <v>10000</v>
      </c>
      <c r="N128" s="49"/>
    </row>
    <row r="129" spans="1:14" ht="55.2" x14ac:dyDescent="0.25">
      <c r="A129" s="15">
        <v>39</v>
      </c>
      <c r="B129" s="7" t="s">
        <v>306</v>
      </c>
      <c r="C129" s="7"/>
      <c r="D129" s="7"/>
      <c r="E129" s="6">
        <f>SUM(E130:E131)</f>
        <v>0</v>
      </c>
      <c r="F129" s="6">
        <f t="shared" ref="F129:K129" si="29">SUM(F130:F131)</f>
        <v>18800</v>
      </c>
      <c r="G129" s="6">
        <f t="shared" si="29"/>
        <v>0</v>
      </c>
      <c r="H129" s="6">
        <f t="shared" si="29"/>
        <v>0</v>
      </c>
      <c r="I129" s="6">
        <f t="shared" si="29"/>
        <v>0</v>
      </c>
      <c r="J129" s="6">
        <f t="shared" si="29"/>
        <v>0</v>
      </c>
      <c r="K129" s="6">
        <f t="shared" si="29"/>
        <v>0</v>
      </c>
      <c r="L129" s="5">
        <f t="shared" si="22"/>
        <v>18800</v>
      </c>
      <c r="N129" s="47"/>
    </row>
    <row r="130" spans="1:14" x14ac:dyDescent="0.25">
      <c r="A130" s="15"/>
      <c r="B130" s="55" t="s">
        <v>307</v>
      </c>
      <c r="C130" s="24"/>
      <c r="D130" s="24"/>
      <c r="E130" s="24"/>
      <c r="F130" s="24">
        <v>16100</v>
      </c>
      <c r="G130" s="24"/>
      <c r="H130" s="24"/>
      <c r="I130" s="24"/>
      <c r="J130" s="24"/>
      <c r="K130" s="24"/>
      <c r="L130" s="25">
        <f t="shared" si="22"/>
        <v>16100</v>
      </c>
      <c r="N130" s="49"/>
    </row>
    <row r="131" spans="1:14" x14ac:dyDescent="0.25">
      <c r="A131" s="15"/>
      <c r="B131" s="55" t="s">
        <v>308</v>
      </c>
      <c r="C131" s="24"/>
      <c r="D131" s="24"/>
      <c r="E131" s="24"/>
      <c r="F131" s="24">
        <v>2700</v>
      </c>
      <c r="G131" s="24"/>
      <c r="H131" s="24"/>
      <c r="I131" s="24"/>
      <c r="J131" s="24"/>
      <c r="K131" s="24"/>
      <c r="L131" s="25">
        <f t="shared" si="22"/>
        <v>2700</v>
      </c>
      <c r="N131" s="49"/>
    </row>
    <row r="132" spans="1:14" ht="69" x14ac:dyDescent="0.25">
      <c r="A132" s="14">
        <v>40</v>
      </c>
      <c r="B132" s="29" t="s">
        <v>221</v>
      </c>
      <c r="C132" s="29">
        <f>C133</f>
        <v>255270</v>
      </c>
      <c r="D132" s="29">
        <f>D133</f>
        <v>254500</v>
      </c>
      <c r="E132" s="10">
        <f>E133</f>
        <v>328791</v>
      </c>
      <c r="F132" s="10">
        <f t="shared" ref="F132:K132" si="30">F133</f>
        <v>0</v>
      </c>
      <c r="G132" s="10">
        <f t="shared" si="30"/>
        <v>0</v>
      </c>
      <c r="H132" s="10">
        <f t="shared" si="30"/>
        <v>0</v>
      </c>
      <c r="I132" s="10">
        <f t="shared" si="30"/>
        <v>0</v>
      </c>
      <c r="J132" s="10">
        <f t="shared" si="30"/>
        <v>0</v>
      </c>
      <c r="K132" s="10">
        <f t="shared" si="30"/>
        <v>0</v>
      </c>
      <c r="L132" s="10">
        <f t="shared" si="22"/>
        <v>328791</v>
      </c>
      <c r="N132" s="47"/>
    </row>
    <row r="133" spans="1:14" x14ac:dyDescent="0.25">
      <c r="A133" s="15">
        <v>41</v>
      </c>
      <c r="B133" s="30" t="s">
        <v>137</v>
      </c>
      <c r="C133" s="30">
        <f>C134+C137+C138</f>
        <v>255270</v>
      </c>
      <c r="D133" s="30">
        <f>D134+D137+D138</f>
        <v>254500</v>
      </c>
      <c r="E133" s="6">
        <f>E134+E137+E138</f>
        <v>328791</v>
      </c>
      <c r="F133" s="6">
        <f t="shared" ref="F133:K133" si="31">F134+F137+F138</f>
        <v>0</v>
      </c>
      <c r="G133" s="6">
        <f t="shared" si="31"/>
        <v>0</v>
      </c>
      <c r="H133" s="6">
        <f t="shared" si="31"/>
        <v>0</v>
      </c>
      <c r="I133" s="6">
        <f t="shared" si="31"/>
        <v>0</v>
      </c>
      <c r="J133" s="6">
        <f t="shared" si="31"/>
        <v>0</v>
      </c>
      <c r="K133" s="6">
        <f t="shared" si="31"/>
        <v>0</v>
      </c>
      <c r="L133" s="5">
        <f t="shared" si="22"/>
        <v>328791</v>
      </c>
      <c r="N133" s="47"/>
    </row>
    <row r="134" spans="1:14" ht="27.6" x14ac:dyDescent="0.25">
      <c r="A134" s="15" t="s">
        <v>309</v>
      </c>
      <c r="B134" s="7" t="s">
        <v>144</v>
      </c>
      <c r="C134" s="7">
        <f>SUM(C135:C136)</f>
        <v>157796</v>
      </c>
      <c r="D134" s="7">
        <f>SUM(D135:D136)</f>
        <v>157679</v>
      </c>
      <c r="E134" s="6">
        <f>SUM(E135:E136)</f>
        <v>198943</v>
      </c>
      <c r="F134" s="6">
        <f t="shared" ref="F134:K134" si="32">SUM(F135:F136)</f>
        <v>0</v>
      </c>
      <c r="G134" s="6">
        <f t="shared" si="32"/>
        <v>0</v>
      </c>
      <c r="H134" s="6">
        <f t="shared" si="32"/>
        <v>0</v>
      </c>
      <c r="I134" s="6">
        <f t="shared" si="32"/>
        <v>0</v>
      </c>
      <c r="J134" s="6">
        <f t="shared" si="32"/>
        <v>0</v>
      </c>
      <c r="K134" s="6">
        <f t="shared" si="32"/>
        <v>0</v>
      </c>
      <c r="L134" s="5">
        <f t="shared" si="22"/>
        <v>198943</v>
      </c>
      <c r="N134" s="47"/>
    </row>
    <row r="135" spans="1:14" ht="27.6" x14ac:dyDescent="0.25">
      <c r="A135" s="15"/>
      <c r="B135" s="26" t="s">
        <v>180</v>
      </c>
      <c r="C135" s="31">
        <v>133796</v>
      </c>
      <c r="D135" s="31">
        <v>133796</v>
      </c>
      <c r="E135" s="24">
        <v>157000</v>
      </c>
      <c r="F135" s="24"/>
      <c r="G135" s="24"/>
      <c r="H135" s="24"/>
      <c r="I135" s="24"/>
      <c r="J135" s="24"/>
      <c r="K135" s="24"/>
      <c r="L135" s="25">
        <f t="shared" si="22"/>
        <v>157000</v>
      </c>
      <c r="N135" s="47"/>
    </row>
    <row r="136" spans="1:14" x14ac:dyDescent="0.25">
      <c r="A136" s="15"/>
      <c r="B136" s="26" t="s">
        <v>61</v>
      </c>
      <c r="C136" s="31">
        <v>24000</v>
      </c>
      <c r="D136" s="31">
        <v>23883</v>
      </c>
      <c r="E136" s="24">
        <v>41943</v>
      </c>
      <c r="F136" s="24"/>
      <c r="G136" s="24"/>
      <c r="H136" s="24"/>
      <c r="I136" s="24"/>
      <c r="J136" s="24"/>
      <c r="K136" s="24"/>
      <c r="L136" s="25">
        <f t="shared" si="22"/>
        <v>41943</v>
      </c>
      <c r="N136" s="47" t="s">
        <v>266</v>
      </c>
    </row>
    <row r="137" spans="1:14" ht="27.6" x14ac:dyDescent="0.25">
      <c r="A137" s="15" t="s">
        <v>310</v>
      </c>
      <c r="B137" s="7" t="s">
        <v>145</v>
      </c>
      <c r="C137" s="7">
        <v>42000</v>
      </c>
      <c r="D137" s="7">
        <v>41996</v>
      </c>
      <c r="E137" s="6">
        <v>46188</v>
      </c>
      <c r="F137" s="6"/>
      <c r="G137" s="6"/>
      <c r="H137" s="6"/>
      <c r="I137" s="6"/>
      <c r="J137" s="6"/>
      <c r="K137" s="6"/>
      <c r="L137" s="5">
        <f t="shared" si="22"/>
        <v>46188</v>
      </c>
      <c r="N137" s="47"/>
    </row>
    <row r="138" spans="1:14" s="8" customFormat="1" ht="27.6" x14ac:dyDescent="0.25">
      <c r="A138" s="15" t="s">
        <v>311</v>
      </c>
      <c r="B138" s="7" t="s">
        <v>146</v>
      </c>
      <c r="C138" s="7">
        <v>55474</v>
      </c>
      <c r="D138" s="7">
        <v>54825</v>
      </c>
      <c r="E138" s="6">
        <v>83660</v>
      </c>
      <c r="F138" s="6">
        <f>F139</f>
        <v>0</v>
      </c>
      <c r="G138" s="6">
        <f t="shared" ref="G138:K138" si="33">G139</f>
        <v>0</v>
      </c>
      <c r="H138" s="6">
        <f t="shared" si="33"/>
        <v>0</v>
      </c>
      <c r="I138" s="6">
        <f t="shared" si="33"/>
        <v>0</v>
      </c>
      <c r="J138" s="6">
        <f t="shared" si="33"/>
        <v>0</v>
      </c>
      <c r="K138" s="6">
        <f t="shared" si="33"/>
        <v>0</v>
      </c>
      <c r="L138" s="5">
        <f t="shared" ref="L138" si="34">SUM(E138:K138)</f>
        <v>83660</v>
      </c>
      <c r="N138" s="52"/>
    </row>
    <row r="139" spans="1:14" ht="27.6" x14ac:dyDescent="0.25">
      <c r="A139" s="15"/>
      <c r="B139" s="26" t="s">
        <v>233</v>
      </c>
      <c r="C139" s="31">
        <v>634</v>
      </c>
      <c r="D139" s="31">
        <v>634</v>
      </c>
      <c r="E139" s="24"/>
      <c r="F139" s="24"/>
      <c r="G139" s="24"/>
      <c r="H139" s="24"/>
      <c r="I139" s="24"/>
      <c r="J139" s="24"/>
      <c r="K139" s="24"/>
      <c r="L139" s="25">
        <f t="shared" ref="L139" si="35">SUM(E139:K139)</f>
        <v>0</v>
      </c>
      <c r="N139" s="53"/>
    </row>
    <row r="140" spans="1:14" ht="27.6" x14ac:dyDescent="0.25">
      <c r="A140" s="13">
        <v>42</v>
      </c>
      <c r="B140" s="28" t="s">
        <v>162</v>
      </c>
      <c r="C140" s="28">
        <f>C141+C203</f>
        <v>9800731</v>
      </c>
      <c r="D140" s="28">
        <f>D141+D203</f>
        <v>7888904</v>
      </c>
      <c r="E140" s="11">
        <f t="shared" ref="E140:K140" si="36">E141+E203</f>
        <v>7160423</v>
      </c>
      <c r="F140" s="11">
        <f t="shared" si="36"/>
        <v>308700</v>
      </c>
      <c r="G140" s="11">
        <f t="shared" si="36"/>
        <v>0</v>
      </c>
      <c r="H140" s="11">
        <f t="shared" si="36"/>
        <v>2079333</v>
      </c>
      <c r="I140" s="11">
        <f t="shared" si="36"/>
        <v>5070</v>
      </c>
      <c r="J140" s="11">
        <f t="shared" si="36"/>
        <v>754726</v>
      </c>
      <c r="K140" s="11">
        <f t="shared" si="36"/>
        <v>0</v>
      </c>
      <c r="L140" s="11">
        <f t="shared" si="22"/>
        <v>10308252</v>
      </c>
      <c r="N140" s="47"/>
    </row>
    <row r="141" spans="1:14" ht="41.4" x14ac:dyDescent="0.25">
      <c r="A141" s="14">
        <v>43</v>
      </c>
      <c r="B141" s="29" t="s">
        <v>222</v>
      </c>
      <c r="C141" s="29">
        <f>C142</f>
        <v>9367620</v>
      </c>
      <c r="D141" s="29">
        <f>D142</f>
        <v>7476652</v>
      </c>
      <c r="E141" s="10">
        <f>E142</f>
        <v>7005423</v>
      </c>
      <c r="F141" s="10">
        <f t="shared" ref="F141:K141" si="37">F142</f>
        <v>0</v>
      </c>
      <c r="G141" s="10">
        <f t="shared" si="37"/>
        <v>0</v>
      </c>
      <c r="H141" s="10">
        <f t="shared" si="37"/>
        <v>2079333</v>
      </c>
      <c r="I141" s="10">
        <f t="shared" si="37"/>
        <v>0</v>
      </c>
      <c r="J141" s="10">
        <f t="shared" si="37"/>
        <v>754726</v>
      </c>
      <c r="K141" s="10">
        <f t="shared" si="37"/>
        <v>0</v>
      </c>
      <c r="L141" s="10">
        <f>SUM(E141:K141)</f>
        <v>9839482</v>
      </c>
      <c r="N141" s="47"/>
    </row>
    <row r="142" spans="1:14" x14ac:dyDescent="0.25">
      <c r="A142" s="15">
        <v>44</v>
      </c>
      <c r="B142" s="30" t="s">
        <v>137</v>
      </c>
      <c r="C142" s="30">
        <f>C143+C146+C152+C161+C171+C177+C196</f>
        <v>9367620</v>
      </c>
      <c r="D142" s="30">
        <f>D143+D146+D152+D161+D171+D177+D196</f>
        <v>7476652</v>
      </c>
      <c r="E142" s="6">
        <f>E143+E146+E152+E161+E171+E177+E196</f>
        <v>7005423</v>
      </c>
      <c r="F142" s="6">
        <f t="shared" ref="F142:L142" si="38">F143+F146+F152+F161+F171+F177+F196</f>
        <v>0</v>
      </c>
      <c r="G142" s="6">
        <f t="shared" si="38"/>
        <v>0</v>
      </c>
      <c r="H142" s="6">
        <f t="shared" si="38"/>
        <v>2079333</v>
      </c>
      <c r="I142" s="6">
        <f t="shared" si="38"/>
        <v>0</v>
      </c>
      <c r="J142" s="6">
        <f t="shared" si="38"/>
        <v>754726</v>
      </c>
      <c r="K142" s="6">
        <f t="shared" si="38"/>
        <v>0</v>
      </c>
      <c r="L142" s="5">
        <f t="shared" si="38"/>
        <v>9839482</v>
      </c>
      <c r="N142" s="47"/>
    </row>
    <row r="143" spans="1:14" ht="27.6" x14ac:dyDescent="0.25">
      <c r="A143" s="15" t="s">
        <v>312</v>
      </c>
      <c r="B143" s="7" t="s">
        <v>147</v>
      </c>
      <c r="C143" s="7">
        <f>SUM(C144:C145)</f>
        <v>338180</v>
      </c>
      <c r="D143" s="7">
        <f>SUM(D144:D145)</f>
        <v>287477</v>
      </c>
      <c r="E143" s="6">
        <f>SUM(E144:E145)</f>
        <v>586000</v>
      </c>
      <c r="F143" s="6">
        <f t="shared" ref="F143:K143" si="39">SUM(F144:F145)</f>
        <v>0</v>
      </c>
      <c r="G143" s="6">
        <f t="shared" si="39"/>
        <v>0</v>
      </c>
      <c r="H143" s="6">
        <f t="shared" si="39"/>
        <v>0</v>
      </c>
      <c r="I143" s="6">
        <f t="shared" si="39"/>
        <v>0</v>
      </c>
      <c r="J143" s="6">
        <f t="shared" si="39"/>
        <v>0</v>
      </c>
      <c r="K143" s="6">
        <f t="shared" si="39"/>
        <v>0</v>
      </c>
      <c r="L143" s="5">
        <f>SUM(E143:K143)</f>
        <v>586000</v>
      </c>
      <c r="N143" s="47"/>
    </row>
    <row r="144" spans="1:14" ht="111.75" customHeight="1" x14ac:dyDescent="0.25">
      <c r="A144" s="15"/>
      <c r="B144" s="23" t="s">
        <v>62</v>
      </c>
      <c r="C144" s="23">
        <v>308030</v>
      </c>
      <c r="D144" s="23">
        <v>261319</v>
      </c>
      <c r="E144" s="24">
        <v>450000</v>
      </c>
      <c r="F144" s="24"/>
      <c r="G144" s="24"/>
      <c r="H144" s="24"/>
      <c r="I144" s="24"/>
      <c r="J144" s="24"/>
      <c r="K144" s="24"/>
      <c r="L144" s="25">
        <f t="shared" ref="L144:L145" si="40">SUM(E144:K144)</f>
        <v>450000</v>
      </c>
      <c r="N144" s="41" t="s">
        <v>305</v>
      </c>
    </row>
    <row r="145" spans="1:14" ht="66" x14ac:dyDescent="0.25">
      <c r="A145" s="15"/>
      <c r="B145" s="27" t="s">
        <v>63</v>
      </c>
      <c r="C145" s="27">
        <v>30150</v>
      </c>
      <c r="D145" s="27">
        <v>26158</v>
      </c>
      <c r="E145" s="24">
        <v>136000</v>
      </c>
      <c r="F145" s="24"/>
      <c r="G145" s="24"/>
      <c r="H145" s="24"/>
      <c r="I145" s="24"/>
      <c r="J145" s="24"/>
      <c r="K145" s="24"/>
      <c r="L145" s="25">
        <f t="shared" si="40"/>
        <v>136000</v>
      </c>
      <c r="N145" s="41" t="s">
        <v>283</v>
      </c>
    </row>
    <row r="146" spans="1:14" ht="27.6" x14ac:dyDescent="0.25">
      <c r="A146" s="15" t="s">
        <v>313</v>
      </c>
      <c r="B146" s="7" t="s">
        <v>148</v>
      </c>
      <c r="C146" s="7">
        <f>SUM(C147:C151)</f>
        <v>3251586</v>
      </c>
      <c r="D146" s="7">
        <f>SUM(D147:D151)</f>
        <v>2386406</v>
      </c>
      <c r="E146" s="6">
        <f>SUM(E147:E151)</f>
        <v>248000</v>
      </c>
      <c r="F146" s="6">
        <f t="shared" ref="F146:K146" si="41">SUM(F147:F151)</f>
        <v>0</v>
      </c>
      <c r="G146" s="6">
        <f t="shared" si="41"/>
        <v>0</v>
      </c>
      <c r="H146" s="6">
        <f t="shared" si="41"/>
        <v>2079333</v>
      </c>
      <c r="I146" s="6">
        <f t="shared" si="41"/>
        <v>0</v>
      </c>
      <c r="J146" s="6">
        <f t="shared" si="41"/>
        <v>754726</v>
      </c>
      <c r="K146" s="6">
        <f t="shared" si="41"/>
        <v>0</v>
      </c>
      <c r="L146" s="5">
        <f t="shared" ref="L146" si="42">L147+L148+L149+L150+L151</f>
        <v>3082059</v>
      </c>
      <c r="N146" s="47"/>
    </row>
    <row r="147" spans="1:14" ht="26.4" x14ac:dyDescent="0.25">
      <c r="A147" s="15"/>
      <c r="B147" s="23" t="s">
        <v>64</v>
      </c>
      <c r="C147" s="23"/>
      <c r="D147" s="23"/>
      <c r="E147" s="24">
        <v>105000</v>
      </c>
      <c r="F147" s="24"/>
      <c r="G147" s="24"/>
      <c r="H147" s="24"/>
      <c r="I147" s="24"/>
      <c r="J147" s="24"/>
      <c r="K147" s="24"/>
      <c r="L147" s="25">
        <f t="shared" ref="L147:L202" si="43">SUM(E147:K147)</f>
        <v>105000</v>
      </c>
      <c r="N147" s="41" t="s">
        <v>284</v>
      </c>
    </row>
    <row r="148" spans="1:14" ht="27.6" x14ac:dyDescent="0.25">
      <c r="A148" s="15"/>
      <c r="B148" s="23" t="s">
        <v>238</v>
      </c>
      <c r="C148" s="23">
        <v>107460</v>
      </c>
      <c r="D148" s="23">
        <v>9074</v>
      </c>
      <c r="E148" s="24">
        <v>65000</v>
      </c>
      <c r="F148" s="24"/>
      <c r="G148" s="24"/>
      <c r="H148" s="24"/>
      <c r="I148" s="24"/>
      <c r="J148" s="24"/>
      <c r="K148" s="24"/>
      <c r="L148" s="25">
        <f t="shared" si="43"/>
        <v>65000</v>
      </c>
      <c r="N148" s="47" t="s">
        <v>257</v>
      </c>
    </row>
    <row r="149" spans="1:14" ht="41.4" x14ac:dyDescent="0.25">
      <c r="A149" s="15"/>
      <c r="B149" s="23" t="s">
        <v>65</v>
      </c>
      <c r="C149" s="23">
        <v>1693500</v>
      </c>
      <c r="D149" s="23">
        <v>1682520</v>
      </c>
      <c r="E149" s="24">
        <v>78000</v>
      </c>
      <c r="F149" s="24"/>
      <c r="G149" s="24"/>
      <c r="H149" s="24"/>
      <c r="I149" s="24"/>
      <c r="J149" s="24"/>
      <c r="K149" s="24"/>
      <c r="L149" s="25">
        <f t="shared" si="43"/>
        <v>78000</v>
      </c>
      <c r="N149" s="47" t="s">
        <v>258</v>
      </c>
    </row>
    <row r="150" spans="1:14" ht="108" customHeight="1" x14ac:dyDescent="0.25">
      <c r="A150" s="15"/>
      <c r="B150" s="23" t="s">
        <v>66</v>
      </c>
      <c r="C150" s="23">
        <v>695900</v>
      </c>
      <c r="D150" s="23">
        <v>694812</v>
      </c>
      <c r="E150" s="24"/>
      <c r="F150" s="24"/>
      <c r="G150" s="24"/>
      <c r="H150" s="24">
        <v>2079333</v>
      </c>
      <c r="I150" s="24"/>
      <c r="J150" s="24"/>
      <c r="K150" s="24"/>
      <c r="L150" s="25">
        <f t="shared" si="43"/>
        <v>2079333</v>
      </c>
      <c r="N150" s="42" t="s">
        <v>285</v>
      </c>
    </row>
    <row r="151" spans="1:14" ht="50.25" customHeight="1" x14ac:dyDescent="0.25">
      <c r="A151" s="15"/>
      <c r="B151" s="23" t="s">
        <v>154</v>
      </c>
      <c r="C151" s="23">
        <v>754726</v>
      </c>
      <c r="D151" s="23"/>
      <c r="E151" s="24"/>
      <c r="F151" s="24"/>
      <c r="G151" s="24"/>
      <c r="H151" s="24"/>
      <c r="I151" s="24"/>
      <c r="J151" s="24">
        <v>754726</v>
      </c>
      <c r="K151" s="24"/>
      <c r="L151" s="25">
        <f t="shared" si="43"/>
        <v>754726</v>
      </c>
      <c r="N151" s="47"/>
    </row>
    <row r="152" spans="1:14" ht="27.6" x14ac:dyDescent="0.25">
      <c r="A152" s="15" t="s">
        <v>316</v>
      </c>
      <c r="B152" s="7" t="s">
        <v>172</v>
      </c>
      <c r="C152" s="7">
        <f>SUM(C153:C160)</f>
        <v>1913720</v>
      </c>
      <c r="D152" s="7">
        <f>SUM(D153:D160)</f>
        <v>1838155</v>
      </c>
      <c r="E152" s="6">
        <f t="shared" ref="E152:K152" si="44">SUM(E153:E160)</f>
        <v>1922968</v>
      </c>
      <c r="F152" s="6">
        <f t="shared" si="44"/>
        <v>0</v>
      </c>
      <c r="G152" s="6">
        <f t="shared" si="44"/>
        <v>0</v>
      </c>
      <c r="H152" s="6">
        <f t="shared" si="44"/>
        <v>0</v>
      </c>
      <c r="I152" s="6">
        <f t="shared" si="44"/>
        <v>0</v>
      </c>
      <c r="J152" s="6">
        <f t="shared" si="44"/>
        <v>0</v>
      </c>
      <c r="K152" s="6">
        <f t="shared" si="44"/>
        <v>0</v>
      </c>
      <c r="L152" s="5">
        <f t="shared" si="43"/>
        <v>1922968</v>
      </c>
      <c r="N152" s="47"/>
    </row>
    <row r="153" spans="1:14" ht="27.6" x14ac:dyDescent="0.25">
      <c r="A153" s="15"/>
      <c r="B153" s="23" t="s">
        <v>67</v>
      </c>
      <c r="C153" s="23">
        <v>800000</v>
      </c>
      <c r="D153" s="23">
        <v>788593</v>
      </c>
      <c r="E153" s="24">
        <v>830000</v>
      </c>
      <c r="F153" s="24"/>
      <c r="G153" s="24"/>
      <c r="H153" s="24"/>
      <c r="I153" s="24"/>
      <c r="J153" s="24"/>
      <c r="K153" s="24"/>
      <c r="L153" s="25">
        <f t="shared" si="43"/>
        <v>830000</v>
      </c>
      <c r="N153" s="47" t="s">
        <v>259</v>
      </c>
    </row>
    <row r="154" spans="1:14" x14ac:dyDescent="0.25">
      <c r="A154" s="15"/>
      <c r="B154" s="23" t="s">
        <v>155</v>
      </c>
      <c r="C154" s="23">
        <v>38310</v>
      </c>
      <c r="D154" s="23">
        <v>38310</v>
      </c>
      <c r="E154" s="24">
        <v>52620</v>
      </c>
      <c r="F154" s="24"/>
      <c r="G154" s="24"/>
      <c r="H154" s="24"/>
      <c r="I154" s="24"/>
      <c r="J154" s="24"/>
      <c r="K154" s="24"/>
      <c r="L154" s="25">
        <f t="shared" si="43"/>
        <v>52620</v>
      </c>
      <c r="N154" s="47" t="s">
        <v>265</v>
      </c>
    </row>
    <row r="155" spans="1:14" ht="39.6" x14ac:dyDescent="0.25">
      <c r="A155" s="15"/>
      <c r="B155" s="23" t="s">
        <v>68</v>
      </c>
      <c r="C155" s="23">
        <v>80000</v>
      </c>
      <c r="D155" s="23">
        <v>76327</v>
      </c>
      <c r="E155" s="24">
        <f>66550+18000+5400</f>
        <v>89950</v>
      </c>
      <c r="F155" s="24"/>
      <c r="G155" s="24"/>
      <c r="H155" s="24"/>
      <c r="I155" s="24"/>
      <c r="J155" s="24"/>
      <c r="K155" s="24"/>
      <c r="L155" s="25">
        <f t="shared" si="43"/>
        <v>89950</v>
      </c>
      <c r="N155" s="41" t="s">
        <v>297</v>
      </c>
    </row>
    <row r="156" spans="1:14" ht="27.6" x14ac:dyDescent="0.25">
      <c r="A156" s="15"/>
      <c r="B156" s="23" t="s">
        <v>275</v>
      </c>
      <c r="C156" s="23">
        <v>111328</v>
      </c>
      <c r="D156" s="23">
        <v>94227</v>
      </c>
      <c r="E156" s="24">
        <v>108048</v>
      </c>
      <c r="F156" s="24"/>
      <c r="G156" s="24"/>
      <c r="H156" s="24"/>
      <c r="I156" s="24"/>
      <c r="J156" s="24"/>
      <c r="K156" s="24"/>
      <c r="L156" s="25">
        <f>SUM(E156:K156)</f>
        <v>108048</v>
      </c>
      <c r="N156" s="47"/>
    </row>
    <row r="157" spans="1:14" x14ac:dyDescent="0.25">
      <c r="A157" s="15"/>
      <c r="B157" s="23" t="s">
        <v>70</v>
      </c>
      <c r="C157" s="23">
        <v>630000</v>
      </c>
      <c r="D157" s="23">
        <v>624011</v>
      </c>
      <c r="E157" s="24">
        <v>615500</v>
      </c>
      <c r="F157" s="24"/>
      <c r="G157" s="24"/>
      <c r="H157" s="24"/>
      <c r="I157" s="24"/>
      <c r="J157" s="24"/>
      <c r="K157" s="24"/>
      <c r="L157" s="25">
        <f>SUM(E157:K157)</f>
        <v>615500</v>
      </c>
      <c r="N157" s="47" t="s">
        <v>259</v>
      </c>
    </row>
    <row r="158" spans="1:14" ht="27.6" x14ac:dyDescent="0.25">
      <c r="A158" s="15"/>
      <c r="B158" s="23" t="s">
        <v>167</v>
      </c>
      <c r="C158" s="23">
        <v>21082</v>
      </c>
      <c r="D158" s="23">
        <v>21081</v>
      </c>
      <c r="E158" s="24">
        <f>17000+11800</f>
        <v>28800</v>
      </c>
      <c r="F158" s="24"/>
      <c r="G158" s="24"/>
      <c r="H158" s="24"/>
      <c r="I158" s="24"/>
      <c r="J158" s="24"/>
      <c r="K158" s="24"/>
      <c r="L158" s="25">
        <f>SUM(E158:K158)</f>
        <v>28800</v>
      </c>
      <c r="N158" s="41" t="s">
        <v>298</v>
      </c>
    </row>
    <row r="159" spans="1:14" ht="27.6" x14ac:dyDescent="0.25">
      <c r="A159" s="15"/>
      <c r="B159" s="23" t="s">
        <v>69</v>
      </c>
      <c r="C159" s="23">
        <v>1000</v>
      </c>
      <c r="D159" s="23"/>
      <c r="E159" s="24"/>
      <c r="F159" s="24"/>
      <c r="G159" s="24"/>
      <c r="H159" s="24"/>
      <c r="I159" s="24"/>
      <c r="J159" s="24"/>
      <c r="K159" s="24"/>
      <c r="L159" s="25">
        <f t="shared" si="43"/>
        <v>0</v>
      </c>
      <c r="N159" s="49"/>
    </row>
    <row r="160" spans="1:14" ht="27.6" x14ac:dyDescent="0.25">
      <c r="A160" s="15"/>
      <c r="B160" s="23" t="s">
        <v>71</v>
      </c>
      <c r="C160" s="23">
        <v>232000</v>
      </c>
      <c r="D160" s="23">
        <v>195606</v>
      </c>
      <c r="E160" s="24">
        <v>198050</v>
      </c>
      <c r="F160" s="24"/>
      <c r="G160" s="24"/>
      <c r="H160" s="24"/>
      <c r="I160" s="24"/>
      <c r="J160" s="24"/>
      <c r="K160" s="24"/>
      <c r="L160" s="25">
        <f t="shared" si="43"/>
        <v>198050</v>
      </c>
      <c r="N160" s="47" t="s">
        <v>259</v>
      </c>
    </row>
    <row r="161" spans="1:15" ht="27.6" x14ac:dyDescent="0.25">
      <c r="A161" s="15" t="s">
        <v>317</v>
      </c>
      <c r="B161" s="7" t="s">
        <v>149</v>
      </c>
      <c r="C161" s="7">
        <f>SUM(C162:C170)</f>
        <v>1282518</v>
      </c>
      <c r="D161" s="7">
        <f>SUM(D162:D170)</f>
        <v>1137992</v>
      </c>
      <c r="E161" s="6">
        <f>SUM(E162:E170)</f>
        <v>1569081</v>
      </c>
      <c r="F161" s="6">
        <f t="shared" ref="F161:K161" si="45">SUM(F162:F170)</f>
        <v>0</v>
      </c>
      <c r="G161" s="6">
        <f t="shared" si="45"/>
        <v>0</v>
      </c>
      <c r="H161" s="6">
        <f t="shared" si="45"/>
        <v>0</v>
      </c>
      <c r="I161" s="6">
        <f t="shared" si="45"/>
        <v>0</v>
      </c>
      <c r="J161" s="6">
        <f t="shared" si="45"/>
        <v>0</v>
      </c>
      <c r="K161" s="6">
        <f t="shared" si="45"/>
        <v>0</v>
      </c>
      <c r="L161" s="5">
        <f t="shared" si="43"/>
        <v>1569081</v>
      </c>
      <c r="N161" s="47"/>
    </row>
    <row r="162" spans="1:15" ht="27.6" x14ac:dyDescent="0.25">
      <c r="A162" s="15"/>
      <c r="B162" s="26" t="s">
        <v>235</v>
      </c>
      <c r="C162" s="31">
        <v>24210</v>
      </c>
      <c r="D162" s="31">
        <v>23658</v>
      </c>
      <c r="E162" s="24">
        <v>40000</v>
      </c>
      <c r="F162" s="24"/>
      <c r="G162" s="24"/>
      <c r="H162" s="24"/>
      <c r="I162" s="24"/>
      <c r="J162" s="24"/>
      <c r="K162" s="24"/>
      <c r="L162" s="25">
        <f t="shared" si="43"/>
        <v>40000</v>
      </c>
      <c r="N162" s="37"/>
    </row>
    <row r="163" spans="1:15" ht="66" x14ac:dyDescent="0.25">
      <c r="A163" s="15"/>
      <c r="B163" s="26" t="s">
        <v>72</v>
      </c>
      <c r="C163" s="31">
        <v>89292</v>
      </c>
      <c r="D163" s="31">
        <v>85805</v>
      </c>
      <c r="E163" s="24">
        <v>150000</v>
      </c>
      <c r="F163" s="24"/>
      <c r="G163" s="24"/>
      <c r="H163" s="24"/>
      <c r="I163" s="24"/>
      <c r="J163" s="24"/>
      <c r="K163" s="24"/>
      <c r="L163" s="25">
        <f t="shared" si="43"/>
        <v>150000</v>
      </c>
      <c r="N163" s="42" t="s">
        <v>299</v>
      </c>
      <c r="O163" s="34"/>
    </row>
    <row r="164" spans="1:15" x14ac:dyDescent="0.25">
      <c r="A164" s="15"/>
      <c r="B164" s="26" t="s">
        <v>73</v>
      </c>
      <c r="C164" s="31">
        <v>1250</v>
      </c>
      <c r="D164" s="31">
        <v>1240</v>
      </c>
      <c r="E164" s="24">
        <v>3000</v>
      </c>
      <c r="F164" s="24"/>
      <c r="G164" s="24"/>
      <c r="H164" s="24"/>
      <c r="I164" s="24"/>
      <c r="J164" s="24"/>
      <c r="K164" s="24"/>
      <c r="L164" s="25">
        <f t="shared" si="43"/>
        <v>3000</v>
      </c>
      <c r="N164" s="48" t="s">
        <v>260</v>
      </c>
    </row>
    <row r="165" spans="1:15" ht="27.6" x14ac:dyDescent="0.25">
      <c r="A165" s="15"/>
      <c r="B165" s="26" t="s">
        <v>74</v>
      </c>
      <c r="C165" s="31">
        <v>141766</v>
      </c>
      <c r="D165" s="31">
        <v>39100</v>
      </c>
      <c r="E165" s="24">
        <v>159081</v>
      </c>
      <c r="F165" s="24"/>
      <c r="G165" s="24"/>
      <c r="H165" s="24"/>
      <c r="I165" s="24"/>
      <c r="J165" s="24"/>
      <c r="K165" s="24"/>
      <c r="L165" s="25">
        <f t="shared" si="43"/>
        <v>159081</v>
      </c>
      <c r="N165" s="47" t="s">
        <v>267</v>
      </c>
    </row>
    <row r="166" spans="1:15" ht="41.4" x14ac:dyDescent="0.25">
      <c r="A166" s="15"/>
      <c r="B166" s="26" t="s">
        <v>75</v>
      </c>
      <c r="C166" s="31">
        <v>20000</v>
      </c>
      <c r="D166" s="31">
        <v>20000</v>
      </c>
      <c r="E166" s="24">
        <v>20000</v>
      </c>
      <c r="F166" s="24"/>
      <c r="G166" s="24"/>
      <c r="H166" s="24"/>
      <c r="I166" s="24"/>
      <c r="J166" s="24"/>
      <c r="K166" s="24"/>
      <c r="L166" s="25">
        <f t="shared" si="43"/>
        <v>20000</v>
      </c>
      <c r="N166" s="47"/>
    </row>
    <row r="167" spans="1:15" x14ac:dyDescent="0.25">
      <c r="A167" s="15"/>
      <c r="B167" s="26" t="s">
        <v>76</v>
      </c>
      <c r="C167" s="31">
        <v>10000</v>
      </c>
      <c r="D167" s="31">
        <v>5000</v>
      </c>
      <c r="E167" s="24">
        <v>10000</v>
      </c>
      <c r="F167" s="24"/>
      <c r="G167" s="24"/>
      <c r="H167" s="24"/>
      <c r="I167" s="24"/>
      <c r="J167" s="24"/>
      <c r="K167" s="24"/>
      <c r="L167" s="25">
        <f t="shared" si="43"/>
        <v>10000</v>
      </c>
      <c r="N167" s="38"/>
    </row>
    <row r="168" spans="1:15" x14ac:dyDescent="0.25">
      <c r="A168" s="15"/>
      <c r="B168" s="26" t="s">
        <v>77</v>
      </c>
      <c r="C168" s="31">
        <v>950000</v>
      </c>
      <c r="D168" s="31">
        <v>921451</v>
      </c>
      <c r="E168" s="24">
        <v>1080000</v>
      </c>
      <c r="F168" s="24"/>
      <c r="G168" s="24"/>
      <c r="H168" s="24"/>
      <c r="I168" s="24"/>
      <c r="J168" s="24"/>
      <c r="K168" s="24"/>
      <c r="L168" s="25">
        <f t="shared" si="43"/>
        <v>1080000</v>
      </c>
      <c r="N168" s="47" t="s">
        <v>279</v>
      </c>
    </row>
    <row r="169" spans="1:15" ht="66" x14ac:dyDescent="0.25">
      <c r="A169" s="15"/>
      <c r="B169" s="27" t="s">
        <v>78</v>
      </c>
      <c r="C169" s="31">
        <v>15000</v>
      </c>
      <c r="D169" s="31">
        <v>13572</v>
      </c>
      <c r="E169" s="24">
        <v>100000</v>
      </c>
      <c r="F169" s="24"/>
      <c r="G169" s="24"/>
      <c r="H169" s="24"/>
      <c r="I169" s="24"/>
      <c r="J169" s="24"/>
      <c r="K169" s="24"/>
      <c r="L169" s="25">
        <f t="shared" si="43"/>
        <v>100000</v>
      </c>
      <c r="N169" s="41" t="s">
        <v>286</v>
      </c>
    </row>
    <row r="170" spans="1:15" ht="15.6" x14ac:dyDescent="0.25">
      <c r="A170" s="15"/>
      <c r="B170" s="27" t="s">
        <v>79</v>
      </c>
      <c r="C170" s="23">
        <v>31000</v>
      </c>
      <c r="D170" s="23">
        <v>28166</v>
      </c>
      <c r="E170" s="24">
        <v>7000</v>
      </c>
      <c r="F170" s="24"/>
      <c r="G170" s="24"/>
      <c r="H170" s="24"/>
      <c r="I170" s="24"/>
      <c r="J170" s="24"/>
      <c r="K170" s="24"/>
      <c r="L170" s="25">
        <f t="shared" si="43"/>
        <v>7000</v>
      </c>
      <c r="N170" s="47" t="s">
        <v>293</v>
      </c>
    </row>
    <row r="171" spans="1:15" ht="41.4" x14ac:dyDescent="0.25">
      <c r="A171" s="15" t="s">
        <v>318</v>
      </c>
      <c r="B171" s="7" t="s">
        <v>150</v>
      </c>
      <c r="C171" s="7">
        <f>SUM(C172:C176)</f>
        <v>220600</v>
      </c>
      <c r="D171" s="7">
        <f t="shared" ref="D171:K171" si="46">SUM(D172:D176)</f>
        <v>160266</v>
      </c>
      <c r="E171" s="7">
        <f t="shared" si="46"/>
        <v>223624</v>
      </c>
      <c r="F171" s="7">
        <f t="shared" si="46"/>
        <v>0</v>
      </c>
      <c r="G171" s="7">
        <f t="shared" si="46"/>
        <v>0</v>
      </c>
      <c r="H171" s="7">
        <f t="shared" si="46"/>
        <v>0</v>
      </c>
      <c r="I171" s="7">
        <f t="shared" si="46"/>
        <v>0</v>
      </c>
      <c r="J171" s="7">
        <f t="shared" si="46"/>
        <v>0</v>
      </c>
      <c r="K171" s="7">
        <f t="shared" si="46"/>
        <v>0</v>
      </c>
      <c r="L171" s="5">
        <f t="shared" si="43"/>
        <v>223624</v>
      </c>
      <c r="N171" s="47"/>
    </row>
    <row r="172" spans="1:15" ht="27.6" x14ac:dyDescent="0.25">
      <c r="A172" s="15"/>
      <c r="B172" s="23" t="s">
        <v>80</v>
      </c>
      <c r="C172" s="23">
        <v>21600</v>
      </c>
      <c r="D172" s="23">
        <v>160266</v>
      </c>
      <c r="E172" s="24">
        <v>30000</v>
      </c>
      <c r="F172" s="24"/>
      <c r="G172" s="24"/>
      <c r="H172" s="24"/>
      <c r="I172" s="24"/>
      <c r="J172" s="24"/>
      <c r="K172" s="24"/>
      <c r="L172" s="25">
        <f t="shared" si="43"/>
        <v>30000</v>
      </c>
      <c r="N172" s="49"/>
    </row>
    <row r="173" spans="1:15" ht="27.6" x14ac:dyDescent="0.25">
      <c r="A173" s="15"/>
      <c r="B173" s="23" t="s">
        <v>81</v>
      </c>
      <c r="C173" s="23">
        <v>45000</v>
      </c>
      <c r="D173" s="23"/>
      <c r="E173" s="24"/>
      <c r="F173" s="24"/>
      <c r="G173" s="24"/>
      <c r="H173" s="24"/>
      <c r="I173" s="24"/>
      <c r="J173" s="24"/>
      <c r="K173" s="24"/>
      <c r="L173" s="25">
        <f t="shared" si="43"/>
        <v>0</v>
      </c>
      <c r="M173" s="35"/>
      <c r="N173" s="43"/>
    </row>
    <row r="174" spans="1:15" ht="27.6" x14ac:dyDescent="0.25">
      <c r="A174" s="15"/>
      <c r="B174" s="23" t="s">
        <v>82</v>
      </c>
      <c r="C174" s="23">
        <v>154000</v>
      </c>
      <c r="D174" s="23"/>
      <c r="E174" s="24"/>
      <c r="F174" s="24"/>
      <c r="G174" s="24"/>
      <c r="H174" s="24"/>
      <c r="I174" s="24"/>
      <c r="J174" s="24"/>
      <c r="K174" s="24"/>
      <c r="L174" s="25">
        <f t="shared" si="43"/>
        <v>0</v>
      </c>
      <c r="M174" s="35"/>
      <c r="N174" s="36"/>
    </row>
    <row r="175" spans="1:15" ht="27.6" x14ac:dyDescent="0.25">
      <c r="A175" s="15"/>
      <c r="B175" s="23" t="s">
        <v>304</v>
      </c>
      <c r="C175" s="23"/>
      <c r="D175" s="23"/>
      <c r="E175" s="24">
        <v>41624</v>
      </c>
      <c r="F175" s="24"/>
      <c r="G175" s="24"/>
      <c r="H175" s="24"/>
      <c r="I175" s="24"/>
      <c r="J175" s="24"/>
      <c r="K175" s="24"/>
      <c r="L175" s="25">
        <f t="shared" si="43"/>
        <v>41624</v>
      </c>
      <c r="M175" s="35"/>
      <c r="N175" s="42" t="s">
        <v>261</v>
      </c>
    </row>
    <row r="176" spans="1:15" ht="27.6" x14ac:dyDescent="0.25">
      <c r="A176" s="15"/>
      <c r="B176" s="23" t="s">
        <v>271</v>
      </c>
      <c r="C176" s="23"/>
      <c r="D176" s="23"/>
      <c r="E176" s="24">
        <v>152000</v>
      </c>
      <c r="F176" s="24"/>
      <c r="G176" s="24"/>
      <c r="H176" s="24"/>
      <c r="I176" s="24"/>
      <c r="J176" s="24"/>
      <c r="K176" s="24"/>
      <c r="L176" s="25">
        <f t="shared" si="43"/>
        <v>152000</v>
      </c>
      <c r="M176" s="35"/>
      <c r="N176" s="41" t="s">
        <v>300</v>
      </c>
    </row>
    <row r="177" spans="1:14" ht="27.6" x14ac:dyDescent="0.25">
      <c r="A177" s="15" t="s">
        <v>314</v>
      </c>
      <c r="B177" s="7" t="s">
        <v>151</v>
      </c>
      <c r="C177" s="7">
        <f>SUM(C178:C195)</f>
        <v>1690635</v>
      </c>
      <c r="D177" s="7">
        <f>SUM(D178:D195)</f>
        <v>1572950</v>
      </c>
      <c r="E177" s="6">
        <f>SUM(E178:E195)</f>
        <v>1737750</v>
      </c>
      <c r="F177" s="6">
        <f t="shared" ref="F177:K177" si="47">SUM(F178:F195)</f>
        <v>0</v>
      </c>
      <c r="G177" s="6">
        <f t="shared" si="47"/>
        <v>0</v>
      </c>
      <c r="H177" s="6">
        <f t="shared" si="47"/>
        <v>0</v>
      </c>
      <c r="I177" s="6">
        <f t="shared" si="47"/>
        <v>0</v>
      </c>
      <c r="J177" s="6">
        <f t="shared" si="47"/>
        <v>0</v>
      </c>
      <c r="K177" s="6">
        <f t="shared" si="47"/>
        <v>0</v>
      </c>
      <c r="L177" s="5">
        <f t="shared" si="43"/>
        <v>1737750</v>
      </c>
      <c r="N177" s="47"/>
    </row>
    <row r="178" spans="1:14" ht="43.5" customHeight="1" x14ac:dyDescent="0.25">
      <c r="A178" s="15"/>
      <c r="B178" s="23" t="s">
        <v>83</v>
      </c>
      <c r="C178" s="23">
        <v>105200</v>
      </c>
      <c r="D178" s="23">
        <v>103701</v>
      </c>
      <c r="E178" s="24">
        <v>70000</v>
      </c>
      <c r="F178" s="24"/>
      <c r="G178" s="24"/>
      <c r="H178" s="24"/>
      <c r="I178" s="24"/>
      <c r="J178" s="24"/>
      <c r="K178" s="24"/>
      <c r="L178" s="25">
        <f t="shared" si="43"/>
        <v>70000</v>
      </c>
      <c r="N178" s="41" t="s">
        <v>301</v>
      </c>
    </row>
    <row r="179" spans="1:14" ht="27.6" x14ac:dyDescent="0.25">
      <c r="A179" s="15"/>
      <c r="B179" s="23" t="s">
        <v>85</v>
      </c>
      <c r="C179" s="23">
        <v>332000</v>
      </c>
      <c r="D179" s="23">
        <v>331408</v>
      </c>
      <c r="E179" s="24">
        <v>400000</v>
      </c>
      <c r="F179" s="24"/>
      <c r="G179" s="24"/>
      <c r="H179" s="24"/>
      <c r="I179" s="24"/>
      <c r="J179" s="24"/>
      <c r="K179" s="24"/>
      <c r="L179" s="25">
        <f t="shared" si="43"/>
        <v>400000</v>
      </c>
      <c r="N179" s="42" t="s">
        <v>262</v>
      </c>
    </row>
    <row r="180" spans="1:14" x14ac:dyDescent="0.25">
      <c r="A180" s="15"/>
      <c r="B180" s="23" t="s">
        <v>87</v>
      </c>
      <c r="C180" s="23">
        <v>29000</v>
      </c>
      <c r="D180" s="23">
        <v>28999</v>
      </c>
      <c r="E180" s="24">
        <v>31330</v>
      </c>
      <c r="F180" s="24"/>
      <c r="G180" s="24"/>
      <c r="H180" s="24"/>
      <c r="I180" s="24"/>
      <c r="J180" s="24"/>
      <c r="K180" s="24"/>
      <c r="L180" s="25">
        <f t="shared" si="43"/>
        <v>31330</v>
      </c>
      <c r="N180" s="47"/>
    </row>
    <row r="181" spans="1:14" x14ac:dyDescent="0.25">
      <c r="A181" s="15"/>
      <c r="B181" s="23" t="s">
        <v>88</v>
      </c>
      <c r="C181" s="23">
        <v>11300</v>
      </c>
      <c r="D181" s="23">
        <v>9785</v>
      </c>
      <c r="E181" s="24">
        <v>17000</v>
      </c>
      <c r="F181" s="24"/>
      <c r="G181" s="24"/>
      <c r="H181" s="24"/>
      <c r="I181" s="24"/>
      <c r="J181" s="24"/>
      <c r="K181" s="24"/>
      <c r="L181" s="25">
        <f t="shared" si="43"/>
        <v>17000</v>
      </c>
      <c r="N181" s="47"/>
    </row>
    <row r="182" spans="1:14" x14ac:dyDescent="0.25">
      <c r="A182" s="15"/>
      <c r="B182" s="23" t="s">
        <v>89</v>
      </c>
      <c r="C182" s="23">
        <v>15500</v>
      </c>
      <c r="D182" s="23">
        <v>12467</v>
      </c>
      <c r="E182" s="24">
        <v>11900</v>
      </c>
      <c r="F182" s="24"/>
      <c r="G182" s="24"/>
      <c r="H182" s="24"/>
      <c r="I182" s="24"/>
      <c r="J182" s="24"/>
      <c r="K182" s="24"/>
      <c r="L182" s="25">
        <f t="shared" si="43"/>
        <v>11900</v>
      </c>
      <c r="N182" s="47"/>
    </row>
    <row r="183" spans="1:14" x14ac:dyDescent="0.25">
      <c r="A183" s="15"/>
      <c r="B183" s="26" t="s">
        <v>90</v>
      </c>
      <c r="C183" s="31">
        <v>873051</v>
      </c>
      <c r="D183" s="31">
        <v>873050</v>
      </c>
      <c r="E183" s="24">
        <v>956500</v>
      </c>
      <c r="F183" s="24"/>
      <c r="G183" s="24"/>
      <c r="H183" s="24"/>
      <c r="I183" s="24"/>
      <c r="J183" s="24"/>
      <c r="K183" s="24"/>
      <c r="L183" s="25">
        <f>SUM(E183:K183)</f>
        <v>956500</v>
      </c>
      <c r="N183" s="47" t="s">
        <v>287</v>
      </c>
    </row>
    <row r="184" spans="1:14" x14ac:dyDescent="0.25">
      <c r="A184" s="15"/>
      <c r="B184" s="23" t="s">
        <v>91</v>
      </c>
      <c r="C184" s="31">
        <v>27300</v>
      </c>
      <c r="D184" s="31">
        <v>26413</v>
      </c>
      <c r="E184" s="24">
        <v>28530</v>
      </c>
      <c r="F184" s="24"/>
      <c r="G184" s="24"/>
      <c r="H184" s="24"/>
      <c r="I184" s="24"/>
      <c r="J184" s="24"/>
      <c r="K184" s="24"/>
      <c r="L184" s="25">
        <f t="shared" si="43"/>
        <v>28530</v>
      </c>
      <c r="N184" s="47"/>
    </row>
    <row r="185" spans="1:14" x14ac:dyDescent="0.25">
      <c r="A185" s="15"/>
      <c r="B185" s="23" t="s">
        <v>92</v>
      </c>
      <c r="C185" s="31">
        <v>31100</v>
      </c>
      <c r="D185" s="31">
        <v>29232</v>
      </c>
      <c r="E185" s="24">
        <v>29000</v>
      </c>
      <c r="F185" s="24"/>
      <c r="G185" s="24"/>
      <c r="H185" s="24"/>
      <c r="I185" s="24"/>
      <c r="J185" s="24"/>
      <c r="K185" s="24"/>
      <c r="L185" s="25">
        <f t="shared" si="43"/>
        <v>29000</v>
      </c>
      <c r="N185" s="47"/>
    </row>
    <row r="186" spans="1:14" x14ac:dyDescent="0.25">
      <c r="A186" s="15"/>
      <c r="B186" s="23" t="s">
        <v>93</v>
      </c>
      <c r="C186" s="31">
        <v>41200</v>
      </c>
      <c r="D186" s="31">
        <v>32360</v>
      </c>
      <c r="E186" s="24">
        <v>39650</v>
      </c>
      <c r="F186" s="24"/>
      <c r="G186" s="24"/>
      <c r="H186" s="24"/>
      <c r="I186" s="24"/>
      <c r="J186" s="24"/>
      <c r="K186" s="24"/>
      <c r="L186" s="25">
        <f t="shared" si="43"/>
        <v>39650</v>
      </c>
      <c r="N186" s="47"/>
    </row>
    <row r="187" spans="1:14" x14ac:dyDescent="0.25">
      <c r="A187" s="15"/>
      <c r="B187" s="23" t="s">
        <v>94</v>
      </c>
      <c r="C187" s="31">
        <v>18150</v>
      </c>
      <c r="D187" s="31">
        <v>17365</v>
      </c>
      <c r="E187" s="24">
        <v>24400</v>
      </c>
      <c r="F187" s="24"/>
      <c r="G187" s="24"/>
      <c r="H187" s="24"/>
      <c r="I187" s="24"/>
      <c r="J187" s="24"/>
      <c r="K187" s="24"/>
      <c r="L187" s="25">
        <f t="shared" si="43"/>
        <v>24400</v>
      </c>
      <c r="N187" s="47"/>
    </row>
    <row r="188" spans="1:14" x14ac:dyDescent="0.25">
      <c r="A188" s="15"/>
      <c r="B188" s="23" t="s">
        <v>95</v>
      </c>
      <c r="C188" s="31">
        <v>18661</v>
      </c>
      <c r="D188" s="31">
        <v>18621</v>
      </c>
      <c r="E188" s="24">
        <v>18920</v>
      </c>
      <c r="F188" s="24"/>
      <c r="G188" s="24"/>
      <c r="H188" s="24"/>
      <c r="I188" s="24"/>
      <c r="J188" s="24"/>
      <c r="K188" s="24"/>
      <c r="L188" s="25">
        <f t="shared" si="43"/>
        <v>18920</v>
      </c>
      <c r="N188" s="47"/>
    </row>
    <row r="189" spans="1:14" x14ac:dyDescent="0.25">
      <c r="A189" s="15"/>
      <c r="B189" s="23" t="s">
        <v>96</v>
      </c>
      <c r="C189" s="31">
        <v>17600</v>
      </c>
      <c r="D189" s="31">
        <v>16071</v>
      </c>
      <c r="E189" s="24">
        <v>20800</v>
      </c>
      <c r="F189" s="24"/>
      <c r="G189" s="24"/>
      <c r="H189" s="24"/>
      <c r="I189" s="24"/>
      <c r="J189" s="24"/>
      <c r="K189" s="24"/>
      <c r="L189" s="25">
        <f t="shared" si="43"/>
        <v>20800</v>
      </c>
      <c r="N189" s="47"/>
    </row>
    <row r="190" spans="1:14" x14ac:dyDescent="0.25">
      <c r="A190" s="15"/>
      <c r="B190" s="23" t="s">
        <v>97</v>
      </c>
      <c r="C190" s="31">
        <v>25100</v>
      </c>
      <c r="D190" s="31">
        <v>24302</v>
      </c>
      <c r="E190" s="24">
        <v>27700</v>
      </c>
      <c r="F190" s="24"/>
      <c r="G190" s="24"/>
      <c r="H190" s="24"/>
      <c r="I190" s="24"/>
      <c r="J190" s="24"/>
      <c r="K190" s="24"/>
      <c r="L190" s="25">
        <f t="shared" si="43"/>
        <v>27700</v>
      </c>
      <c r="N190" s="47"/>
    </row>
    <row r="191" spans="1:14" x14ac:dyDescent="0.25">
      <c r="A191" s="15"/>
      <c r="B191" s="23" t="s">
        <v>98</v>
      </c>
      <c r="C191" s="31">
        <v>17759</v>
      </c>
      <c r="D191" s="31">
        <v>15768</v>
      </c>
      <c r="E191" s="24">
        <v>21770</v>
      </c>
      <c r="F191" s="24"/>
      <c r="G191" s="24"/>
      <c r="H191" s="24"/>
      <c r="I191" s="24"/>
      <c r="J191" s="24"/>
      <c r="K191" s="24"/>
      <c r="L191" s="25">
        <f t="shared" si="43"/>
        <v>21770</v>
      </c>
      <c r="N191" s="47"/>
    </row>
    <row r="192" spans="1:14" ht="26.4" x14ac:dyDescent="0.25">
      <c r="A192" s="15"/>
      <c r="B192" s="23" t="s">
        <v>272</v>
      </c>
      <c r="C192" s="23">
        <v>26921</v>
      </c>
      <c r="D192" s="23">
        <v>26921</v>
      </c>
      <c r="E192" s="24">
        <v>30250</v>
      </c>
      <c r="F192" s="24"/>
      <c r="G192" s="24"/>
      <c r="H192" s="24"/>
      <c r="I192" s="24"/>
      <c r="J192" s="24"/>
      <c r="K192" s="24"/>
      <c r="L192" s="25">
        <f t="shared" si="43"/>
        <v>30250</v>
      </c>
      <c r="M192" s="35"/>
      <c r="N192" s="54" t="s">
        <v>263</v>
      </c>
    </row>
    <row r="193" spans="1:15" x14ac:dyDescent="0.25">
      <c r="A193" s="15"/>
      <c r="B193" s="23" t="s">
        <v>84</v>
      </c>
      <c r="C193" s="23">
        <v>10000</v>
      </c>
      <c r="D193" s="23">
        <v>6487</v>
      </c>
      <c r="E193" s="24">
        <v>10000</v>
      </c>
      <c r="F193" s="24"/>
      <c r="G193" s="24"/>
      <c r="H193" s="24"/>
      <c r="I193" s="24"/>
      <c r="J193" s="24"/>
      <c r="K193" s="24"/>
      <c r="L193" s="25">
        <f t="shared" si="43"/>
        <v>10000</v>
      </c>
      <c r="N193" s="47"/>
    </row>
    <row r="194" spans="1:15" ht="46.8" x14ac:dyDescent="0.25">
      <c r="A194" s="15"/>
      <c r="B194" s="27" t="s">
        <v>86</v>
      </c>
      <c r="C194" s="27">
        <v>83823</v>
      </c>
      <c r="D194" s="27"/>
      <c r="E194" s="24"/>
      <c r="F194" s="24"/>
      <c r="G194" s="24"/>
      <c r="H194" s="24"/>
      <c r="I194" s="24"/>
      <c r="J194" s="24"/>
      <c r="K194" s="24"/>
      <c r="L194" s="25">
        <f t="shared" si="43"/>
        <v>0</v>
      </c>
      <c r="N194" s="49"/>
    </row>
    <row r="195" spans="1:15" ht="46.8" x14ac:dyDescent="0.25">
      <c r="A195" s="15"/>
      <c r="B195" s="27" t="s">
        <v>276</v>
      </c>
      <c r="C195" s="27">
        <v>6970</v>
      </c>
      <c r="D195" s="27"/>
      <c r="E195" s="24"/>
      <c r="F195" s="24"/>
      <c r="G195" s="24"/>
      <c r="H195" s="24"/>
      <c r="I195" s="24"/>
      <c r="J195" s="24"/>
      <c r="K195" s="24"/>
      <c r="L195" s="25">
        <f t="shared" ref="L195" si="48">SUM(E195:K195)</f>
        <v>0</v>
      </c>
      <c r="N195" s="49"/>
    </row>
    <row r="196" spans="1:15" ht="27.6" x14ac:dyDescent="0.25">
      <c r="A196" s="15" t="s">
        <v>315</v>
      </c>
      <c r="B196" s="7" t="s">
        <v>164</v>
      </c>
      <c r="C196" s="7">
        <f>SUM(C197:C202)</f>
        <v>670381</v>
      </c>
      <c r="D196" s="7">
        <f>SUM(D197:D202)</f>
        <v>93406</v>
      </c>
      <c r="E196" s="6">
        <f t="shared" ref="E196:K196" si="49">SUM(E197:E202)</f>
        <v>718000</v>
      </c>
      <c r="F196" s="6">
        <f t="shared" si="49"/>
        <v>0</v>
      </c>
      <c r="G196" s="6">
        <f t="shared" si="49"/>
        <v>0</v>
      </c>
      <c r="H196" s="6">
        <f t="shared" si="49"/>
        <v>0</v>
      </c>
      <c r="I196" s="6">
        <f t="shared" si="49"/>
        <v>0</v>
      </c>
      <c r="J196" s="6">
        <f t="shared" si="49"/>
        <v>0</v>
      </c>
      <c r="K196" s="6">
        <f t="shared" si="49"/>
        <v>0</v>
      </c>
      <c r="L196" s="5">
        <f t="shared" si="43"/>
        <v>718000</v>
      </c>
      <c r="N196" s="47"/>
    </row>
    <row r="197" spans="1:15" ht="27.6" x14ac:dyDescent="0.25">
      <c r="A197" s="15"/>
      <c r="B197" s="23" t="s">
        <v>99</v>
      </c>
      <c r="C197" s="23">
        <v>440000</v>
      </c>
      <c r="D197" s="23"/>
      <c r="E197" s="24">
        <v>440000</v>
      </c>
      <c r="F197" s="24"/>
      <c r="G197" s="24"/>
      <c r="H197" s="24"/>
      <c r="I197" s="24"/>
      <c r="J197" s="24"/>
      <c r="K197" s="24"/>
      <c r="L197" s="25">
        <f t="shared" si="43"/>
        <v>440000</v>
      </c>
      <c r="N197" s="47" t="s">
        <v>290</v>
      </c>
      <c r="O197" s="34"/>
    </row>
    <row r="198" spans="1:15" ht="27.6" x14ac:dyDescent="0.25">
      <c r="A198" s="15"/>
      <c r="B198" s="23" t="s">
        <v>104</v>
      </c>
      <c r="C198" s="23">
        <v>72061</v>
      </c>
      <c r="D198" s="23">
        <v>53095</v>
      </c>
      <c r="E198" s="24"/>
      <c r="F198" s="24"/>
      <c r="G198" s="24"/>
      <c r="H198" s="24"/>
      <c r="I198" s="24"/>
      <c r="J198" s="24"/>
      <c r="K198" s="24"/>
      <c r="L198" s="25">
        <f>SUM(E198:K198)</f>
        <v>0</v>
      </c>
      <c r="N198" s="49"/>
    </row>
    <row r="199" spans="1:15" ht="79.2" x14ac:dyDescent="0.25">
      <c r="A199" s="15"/>
      <c r="B199" s="23" t="s">
        <v>100</v>
      </c>
      <c r="C199" s="23">
        <v>30320</v>
      </c>
      <c r="D199" s="23">
        <v>25311</v>
      </c>
      <c r="E199" s="40">
        <v>70000</v>
      </c>
      <c r="F199" s="24"/>
      <c r="G199" s="24"/>
      <c r="H199" s="24"/>
      <c r="I199" s="24"/>
      <c r="J199" s="24"/>
      <c r="K199" s="24"/>
      <c r="L199" s="25">
        <f t="shared" si="43"/>
        <v>70000</v>
      </c>
      <c r="N199" s="41" t="s">
        <v>264</v>
      </c>
    </row>
    <row r="200" spans="1:15" x14ac:dyDescent="0.25">
      <c r="A200" s="15"/>
      <c r="B200" s="23" t="s">
        <v>101</v>
      </c>
      <c r="C200" s="23">
        <v>15000</v>
      </c>
      <c r="D200" s="23">
        <v>15000</v>
      </c>
      <c r="E200" s="24">
        <v>15000</v>
      </c>
      <c r="F200" s="24"/>
      <c r="G200" s="24"/>
      <c r="H200" s="24"/>
      <c r="I200" s="24"/>
      <c r="J200" s="24"/>
      <c r="K200" s="24"/>
      <c r="L200" s="25">
        <f t="shared" si="43"/>
        <v>15000</v>
      </c>
      <c r="N200" s="47"/>
    </row>
    <row r="201" spans="1:15" ht="27.6" x14ac:dyDescent="0.25">
      <c r="A201" s="15"/>
      <c r="B201" s="23" t="s">
        <v>102</v>
      </c>
      <c r="C201" s="23">
        <v>89000</v>
      </c>
      <c r="D201" s="23"/>
      <c r="E201" s="24">
        <v>108000</v>
      </c>
      <c r="F201" s="24"/>
      <c r="G201" s="24"/>
      <c r="H201" s="24"/>
      <c r="I201" s="24"/>
      <c r="J201" s="24"/>
      <c r="K201" s="24"/>
      <c r="L201" s="25">
        <f t="shared" si="43"/>
        <v>108000</v>
      </c>
      <c r="N201" s="47" t="s">
        <v>290</v>
      </c>
      <c r="O201" s="34"/>
    </row>
    <row r="202" spans="1:15" ht="27.6" x14ac:dyDescent="0.25">
      <c r="A202" s="15"/>
      <c r="B202" s="23" t="s">
        <v>103</v>
      </c>
      <c r="C202" s="23">
        <v>24000</v>
      </c>
      <c r="D202" s="23"/>
      <c r="E202" s="24">
        <v>85000</v>
      </c>
      <c r="F202" s="24"/>
      <c r="G202" s="24"/>
      <c r="H202" s="24"/>
      <c r="I202" s="24"/>
      <c r="J202" s="24"/>
      <c r="K202" s="24"/>
      <c r="L202" s="25">
        <f t="shared" si="43"/>
        <v>85000</v>
      </c>
      <c r="N202" s="47" t="s">
        <v>290</v>
      </c>
      <c r="O202" s="34"/>
    </row>
    <row r="203" spans="1:15" ht="55.2" x14ac:dyDescent="0.25">
      <c r="A203" s="14">
        <v>45</v>
      </c>
      <c r="B203" s="29" t="s">
        <v>223</v>
      </c>
      <c r="C203" s="29">
        <f>C204</f>
        <v>433111</v>
      </c>
      <c r="D203" s="29">
        <f>D204</f>
        <v>412252</v>
      </c>
      <c r="E203" s="10">
        <f>E204</f>
        <v>155000</v>
      </c>
      <c r="F203" s="10">
        <f t="shared" ref="F203:K203" si="50">F204</f>
        <v>308700</v>
      </c>
      <c r="G203" s="10">
        <f t="shared" si="50"/>
        <v>0</v>
      </c>
      <c r="H203" s="10">
        <f t="shared" si="50"/>
        <v>0</v>
      </c>
      <c r="I203" s="10">
        <f t="shared" si="50"/>
        <v>5070</v>
      </c>
      <c r="J203" s="10">
        <f t="shared" si="50"/>
        <v>0</v>
      </c>
      <c r="K203" s="10">
        <f t="shared" si="50"/>
        <v>0</v>
      </c>
      <c r="L203" s="10">
        <f t="shared" ref="L203" si="51">SUM(E203:K203)</f>
        <v>468770</v>
      </c>
      <c r="N203" s="47"/>
    </row>
    <row r="204" spans="1:15" x14ac:dyDescent="0.25">
      <c r="A204" s="15">
        <v>46</v>
      </c>
      <c r="B204" s="30" t="s">
        <v>137</v>
      </c>
      <c r="C204" s="30">
        <f>C205+C208+C211</f>
        <v>433111</v>
      </c>
      <c r="D204" s="30">
        <f>D205+D208+D211</f>
        <v>412252</v>
      </c>
      <c r="E204" s="6">
        <f>E205+E208+E211</f>
        <v>155000</v>
      </c>
      <c r="F204" s="6">
        <f t="shared" ref="F204:K204" si="52">F205+F208+F211</f>
        <v>308700</v>
      </c>
      <c r="G204" s="6">
        <f t="shared" si="52"/>
        <v>0</v>
      </c>
      <c r="H204" s="6">
        <f t="shared" si="52"/>
        <v>0</v>
      </c>
      <c r="I204" s="6">
        <f t="shared" si="52"/>
        <v>5070</v>
      </c>
      <c r="J204" s="6">
        <f t="shared" si="52"/>
        <v>0</v>
      </c>
      <c r="K204" s="6">
        <f t="shared" si="52"/>
        <v>0</v>
      </c>
      <c r="L204" s="5">
        <f t="shared" ref="L204:L213" si="53">SUM(E204:K204)</f>
        <v>468770</v>
      </c>
      <c r="N204" s="47"/>
    </row>
    <row r="205" spans="1:15" ht="27.6" x14ac:dyDescent="0.25">
      <c r="A205" s="15" t="s">
        <v>319</v>
      </c>
      <c r="B205" s="7" t="s">
        <v>152</v>
      </c>
      <c r="C205" s="7">
        <f>SUM(C206:C207)</f>
        <v>263075</v>
      </c>
      <c r="D205" s="7">
        <f>SUM(D206:D207)</f>
        <v>259500</v>
      </c>
      <c r="E205" s="6">
        <f>SUM(E206:E207)</f>
        <v>0</v>
      </c>
      <c r="F205" s="6">
        <f t="shared" ref="F205:K205" si="54">SUM(F206:F207)</f>
        <v>308700</v>
      </c>
      <c r="G205" s="6">
        <f t="shared" si="54"/>
        <v>0</v>
      </c>
      <c r="H205" s="6">
        <f t="shared" si="54"/>
        <v>0</v>
      </c>
      <c r="I205" s="6">
        <f t="shared" si="54"/>
        <v>0</v>
      </c>
      <c r="J205" s="6">
        <f t="shared" si="54"/>
        <v>0</v>
      </c>
      <c r="K205" s="6">
        <f t="shared" si="54"/>
        <v>0</v>
      </c>
      <c r="L205" s="5">
        <f t="shared" si="53"/>
        <v>308700</v>
      </c>
      <c r="N205" s="47"/>
    </row>
    <row r="206" spans="1:15" x14ac:dyDescent="0.25">
      <c r="A206" s="15"/>
      <c r="B206" s="26" t="s">
        <v>105</v>
      </c>
      <c r="C206" s="31">
        <v>259500</v>
      </c>
      <c r="D206" s="31">
        <v>259500</v>
      </c>
      <c r="E206" s="24"/>
      <c r="F206" s="24">
        <v>308700</v>
      </c>
      <c r="G206" s="24"/>
      <c r="H206" s="24"/>
      <c r="I206" s="24"/>
      <c r="J206" s="24"/>
      <c r="K206" s="24"/>
      <c r="L206" s="25">
        <f t="shared" si="53"/>
        <v>308700</v>
      </c>
      <c r="N206" s="47"/>
    </row>
    <row r="207" spans="1:15" s="8" customFormat="1" ht="46.8" x14ac:dyDescent="0.25">
      <c r="A207" s="15"/>
      <c r="B207" s="27" t="s">
        <v>106</v>
      </c>
      <c r="C207" s="32">
        <v>3575</v>
      </c>
      <c r="D207" s="32"/>
      <c r="E207" s="24"/>
      <c r="F207" s="24"/>
      <c r="G207" s="24"/>
      <c r="H207" s="24"/>
      <c r="I207" s="24"/>
      <c r="J207" s="24"/>
      <c r="K207" s="24"/>
      <c r="L207" s="25">
        <f t="shared" si="53"/>
        <v>0</v>
      </c>
      <c r="N207" s="53"/>
    </row>
    <row r="208" spans="1:15" x14ac:dyDescent="0.25">
      <c r="A208" s="15" t="s">
        <v>320</v>
      </c>
      <c r="B208" s="7" t="s">
        <v>165</v>
      </c>
      <c r="C208" s="7">
        <f>SUM(C209:C210)</f>
        <v>30000</v>
      </c>
      <c r="D208" s="7">
        <f>SUM(D209:D210)</f>
        <v>30000</v>
      </c>
      <c r="E208" s="6">
        <f>SUM(E209:E210)</f>
        <v>30000</v>
      </c>
      <c r="F208" s="6">
        <f t="shared" ref="F208:K208" si="55">SUM(F209:F210)</f>
        <v>0</v>
      </c>
      <c r="G208" s="6">
        <f t="shared" si="55"/>
        <v>0</v>
      </c>
      <c r="H208" s="6">
        <f t="shared" si="55"/>
        <v>0</v>
      </c>
      <c r="I208" s="6">
        <f t="shared" si="55"/>
        <v>0</v>
      </c>
      <c r="J208" s="6">
        <f t="shared" si="55"/>
        <v>0</v>
      </c>
      <c r="K208" s="6">
        <f t="shared" si="55"/>
        <v>0</v>
      </c>
      <c r="L208" s="5">
        <f t="shared" si="53"/>
        <v>30000</v>
      </c>
      <c r="N208" s="47"/>
    </row>
    <row r="209" spans="1:14" x14ac:dyDescent="0.25">
      <c r="A209" s="15"/>
      <c r="B209" s="26" t="s">
        <v>107</v>
      </c>
      <c r="C209" s="31">
        <v>15000</v>
      </c>
      <c r="D209" s="31">
        <v>15000</v>
      </c>
      <c r="E209" s="24">
        <v>15000</v>
      </c>
      <c r="F209" s="24"/>
      <c r="G209" s="24"/>
      <c r="H209" s="24"/>
      <c r="I209" s="24"/>
      <c r="J209" s="24"/>
      <c r="K209" s="24"/>
      <c r="L209" s="25">
        <f t="shared" si="53"/>
        <v>15000</v>
      </c>
      <c r="N209" s="47"/>
    </row>
    <row r="210" spans="1:14" x14ac:dyDescent="0.25">
      <c r="A210" s="15"/>
      <c r="B210" s="26" t="s">
        <v>108</v>
      </c>
      <c r="C210" s="31">
        <v>15000</v>
      </c>
      <c r="D210" s="31">
        <v>15000</v>
      </c>
      <c r="E210" s="24">
        <v>15000</v>
      </c>
      <c r="F210" s="24"/>
      <c r="G210" s="24"/>
      <c r="H210" s="24"/>
      <c r="I210" s="24"/>
      <c r="J210" s="24"/>
      <c r="K210" s="24"/>
      <c r="L210" s="25">
        <f t="shared" si="53"/>
        <v>15000</v>
      </c>
      <c r="N210" s="49"/>
    </row>
    <row r="211" spans="1:14" x14ac:dyDescent="0.25">
      <c r="A211" s="15" t="s">
        <v>321</v>
      </c>
      <c r="B211" s="7" t="s">
        <v>173</v>
      </c>
      <c r="C211" s="7">
        <f>SUM(C212:C214)</f>
        <v>140036</v>
      </c>
      <c r="D211" s="7">
        <f>SUM(D212:D214)</f>
        <v>122752</v>
      </c>
      <c r="E211" s="6">
        <f>SUM(E212:E214)</f>
        <v>125000</v>
      </c>
      <c r="F211" s="6">
        <f t="shared" ref="F211:K211" si="56">SUM(F212:F214)</f>
        <v>0</v>
      </c>
      <c r="G211" s="6">
        <f t="shared" si="56"/>
        <v>0</v>
      </c>
      <c r="H211" s="6">
        <f t="shared" si="56"/>
        <v>0</v>
      </c>
      <c r="I211" s="6">
        <f t="shared" si="56"/>
        <v>5070</v>
      </c>
      <c r="J211" s="6">
        <f t="shared" si="56"/>
        <v>0</v>
      </c>
      <c r="K211" s="6">
        <f t="shared" si="56"/>
        <v>0</v>
      </c>
      <c r="L211" s="5">
        <f t="shared" si="53"/>
        <v>130070</v>
      </c>
      <c r="N211" s="47"/>
    </row>
    <row r="212" spans="1:14" s="8" customFormat="1" ht="36" customHeight="1" x14ac:dyDescent="0.25">
      <c r="A212" s="15"/>
      <c r="B212" s="26" t="s">
        <v>109</v>
      </c>
      <c r="C212" s="31">
        <v>117230</v>
      </c>
      <c r="D212" s="31">
        <v>117230</v>
      </c>
      <c r="E212" s="24">
        <f>120000+5000</f>
        <v>125000</v>
      </c>
      <c r="F212" s="24"/>
      <c r="G212" s="24"/>
      <c r="H212" s="24"/>
      <c r="I212" s="24"/>
      <c r="J212" s="24"/>
      <c r="K212" s="24"/>
      <c r="L212" s="25">
        <f t="shared" si="53"/>
        <v>125000</v>
      </c>
      <c r="N212" s="51"/>
    </row>
    <row r="213" spans="1:14" s="8" customFormat="1" ht="27.6" x14ac:dyDescent="0.25">
      <c r="A213" s="15"/>
      <c r="B213" s="26" t="s">
        <v>110</v>
      </c>
      <c r="C213" s="31">
        <v>6340</v>
      </c>
      <c r="D213" s="31">
        <v>5522</v>
      </c>
      <c r="E213" s="24"/>
      <c r="F213" s="24"/>
      <c r="G213" s="24"/>
      <c r="H213" s="24"/>
      <c r="I213" s="24">
        <v>5070</v>
      </c>
      <c r="J213" s="24"/>
      <c r="K213" s="24"/>
      <c r="L213" s="25">
        <f t="shared" si="53"/>
        <v>5070</v>
      </c>
      <c r="N213" s="52"/>
    </row>
    <row r="214" spans="1:14" s="8" customFormat="1" ht="27.6" x14ac:dyDescent="0.25">
      <c r="A214" s="15"/>
      <c r="B214" s="26" t="s">
        <v>185</v>
      </c>
      <c r="C214" s="31">
        <v>16466</v>
      </c>
      <c r="D214" s="31"/>
      <c r="E214" s="24"/>
      <c r="F214" s="24"/>
      <c r="G214" s="24"/>
      <c r="H214" s="24"/>
      <c r="I214" s="24"/>
      <c r="J214" s="24"/>
      <c r="K214" s="24"/>
      <c r="L214" s="25">
        <f t="shared" ref="L214" si="57">SUM(E214:K214)</f>
        <v>0</v>
      </c>
      <c r="N214" s="52"/>
    </row>
    <row r="215" spans="1:14" ht="69" x14ac:dyDescent="0.25">
      <c r="A215" s="13">
        <v>47</v>
      </c>
      <c r="B215" s="28" t="s">
        <v>224</v>
      </c>
      <c r="C215" s="28">
        <f>C216</f>
        <v>8140325</v>
      </c>
      <c r="D215" s="28">
        <f>D216</f>
        <v>7170093</v>
      </c>
      <c r="E215" s="11">
        <f>E216</f>
        <v>8123359</v>
      </c>
      <c r="F215" s="11">
        <f t="shared" ref="F215:K215" si="58">F216</f>
        <v>537009</v>
      </c>
      <c r="G215" s="11">
        <f t="shared" si="58"/>
        <v>0</v>
      </c>
      <c r="H215" s="11">
        <f t="shared" si="58"/>
        <v>43017</v>
      </c>
      <c r="I215" s="11">
        <f t="shared" si="58"/>
        <v>184233</v>
      </c>
      <c r="J215" s="11">
        <f t="shared" si="58"/>
        <v>0</v>
      </c>
      <c r="K215" s="11">
        <f t="shared" si="58"/>
        <v>400000</v>
      </c>
      <c r="L215" s="11">
        <f>SUM(E215:K215)</f>
        <v>9287618</v>
      </c>
      <c r="N215" s="47"/>
    </row>
    <row r="216" spans="1:14" ht="27.6" x14ac:dyDescent="0.25">
      <c r="A216" s="14">
        <v>48</v>
      </c>
      <c r="B216" s="29" t="s">
        <v>153</v>
      </c>
      <c r="C216" s="29">
        <f>C217+C236+C237+C238</f>
        <v>8140325</v>
      </c>
      <c r="D216" s="29">
        <f>D217+D236+D237+D238</f>
        <v>7170093</v>
      </c>
      <c r="E216" s="10">
        <f>E217+E236+E237+E238</f>
        <v>8123359</v>
      </c>
      <c r="F216" s="10">
        <f t="shared" ref="F216:K216" si="59">F217+F236+F237+F238</f>
        <v>537009</v>
      </c>
      <c r="G216" s="10">
        <f t="shared" si="59"/>
        <v>0</v>
      </c>
      <c r="H216" s="10">
        <f t="shared" si="59"/>
        <v>43017</v>
      </c>
      <c r="I216" s="10">
        <f t="shared" si="59"/>
        <v>184233</v>
      </c>
      <c r="J216" s="10">
        <f t="shared" si="59"/>
        <v>0</v>
      </c>
      <c r="K216" s="10">
        <f t="shared" si="59"/>
        <v>400000</v>
      </c>
      <c r="L216" s="10">
        <f>SUM(E216:K216)</f>
        <v>9287618</v>
      </c>
      <c r="N216" s="47"/>
    </row>
    <row r="217" spans="1:14" x14ac:dyDescent="0.25">
      <c r="A217" s="15">
        <v>49</v>
      </c>
      <c r="B217" s="30" t="s">
        <v>137</v>
      </c>
      <c r="C217" s="30">
        <f>C218+C219</f>
        <v>6857248</v>
      </c>
      <c r="D217" s="30">
        <f>D218+D219</f>
        <v>6264105</v>
      </c>
      <c r="E217" s="6">
        <f>E218+E219</f>
        <v>7112622</v>
      </c>
      <c r="F217" s="6">
        <f>F218+F219</f>
        <v>537009</v>
      </c>
      <c r="G217" s="6">
        <f t="shared" ref="G217:K217" si="60">G218+G219</f>
        <v>0</v>
      </c>
      <c r="H217" s="6">
        <f t="shared" si="60"/>
        <v>43017</v>
      </c>
      <c r="I217" s="6">
        <f t="shared" si="60"/>
        <v>184233</v>
      </c>
      <c r="J217" s="6">
        <f t="shared" si="60"/>
        <v>0</v>
      </c>
      <c r="K217" s="6">
        <f t="shared" si="60"/>
        <v>0</v>
      </c>
      <c r="L217" s="5">
        <f>SUM(E217:K217)</f>
        <v>7876881</v>
      </c>
      <c r="N217" s="47"/>
    </row>
    <row r="218" spans="1:14" ht="94.5" customHeight="1" x14ac:dyDescent="0.25">
      <c r="A218" s="15" t="s">
        <v>322</v>
      </c>
      <c r="B218" s="7" t="s">
        <v>157</v>
      </c>
      <c r="C218" s="7">
        <v>485000</v>
      </c>
      <c r="D218" s="7">
        <v>428921</v>
      </c>
      <c r="E218" s="6">
        <v>526000</v>
      </c>
      <c r="F218" s="6"/>
      <c r="G218" s="6"/>
      <c r="H218" s="6"/>
      <c r="I218" s="6"/>
      <c r="J218" s="6"/>
      <c r="K218" s="6"/>
      <c r="L218" s="5">
        <f>SUM(E218:K218)</f>
        <v>526000</v>
      </c>
      <c r="N218" s="41" t="s">
        <v>302</v>
      </c>
    </row>
    <row r="219" spans="1:14" ht="55.2" x14ac:dyDescent="0.25">
      <c r="A219" s="15" t="s">
        <v>323</v>
      </c>
      <c r="B219" s="7" t="s">
        <v>158</v>
      </c>
      <c r="C219" s="7">
        <f>SUM(C220:C235)</f>
        <v>6372248</v>
      </c>
      <c r="D219" s="7">
        <f>SUM(D220:D235)</f>
        <v>5835184</v>
      </c>
      <c r="E219" s="6">
        <f t="shared" ref="E219:K219" si="61">SUM(E220:E235)</f>
        <v>6586622</v>
      </c>
      <c r="F219" s="6">
        <f t="shared" si="61"/>
        <v>537009</v>
      </c>
      <c r="G219" s="6">
        <f t="shared" si="61"/>
        <v>0</v>
      </c>
      <c r="H219" s="6">
        <f t="shared" si="61"/>
        <v>43017</v>
      </c>
      <c r="I219" s="6">
        <f t="shared" si="61"/>
        <v>184233</v>
      </c>
      <c r="J219" s="6">
        <f t="shared" si="61"/>
        <v>0</v>
      </c>
      <c r="K219" s="6">
        <f t="shared" si="61"/>
        <v>0</v>
      </c>
      <c r="L219" s="5">
        <f>SUM(E219:K219)</f>
        <v>7350881</v>
      </c>
      <c r="N219" s="47"/>
    </row>
    <row r="220" spans="1:14" ht="27.6" x14ac:dyDescent="0.25">
      <c r="A220" s="15"/>
      <c r="B220" s="23" t="s">
        <v>111</v>
      </c>
      <c r="C220" s="23">
        <v>7000</v>
      </c>
      <c r="D220" s="23">
        <v>577</v>
      </c>
      <c r="E220" s="24">
        <v>7000</v>
      </c>
      <c r="F220" s="24"/>
      <c r="G220" s="24"/>
      <c r="H220" s="24"/>
      <c r="I220" s="24"/>
      <c r="J220" s="24"/>
      <c r="K220" s="24"/>
      <c r="L220" s="25">
        <f t="shared" ref="L220:L247" si="62">SUM(E220:K220)</f>
        <v>7000</v>
      </c>
      <c r="N220" s="49"/>
    </row>
    <row r="221" spans="1:14" ht="27.6" x14ac:dyDescent="0.25">
      <c r="A221" s="15"/>
      <c r="B221" s="23" t="s">
        <v>112</v>
      </c>
      <c r="C221" s="23">
        <f>4457672-90000</f>
        <v>4367672</v>
      </c>
      <c r="D221" s="23">
        <v>4077922</v>
      </c>
      <c r="E221" s="24">
        <f>4452141-4000</f>
        <v>4448141</v>
      </c>
      <c r="F221" s="24">
        <f>555809-18800</f>
        <v>537009</v>
      </c>
      <c r="G221" s="24"/>
      <c r="H221" s="24">
        <f>42015+1002</f>
        <v>43017</v>
      </c>
      <c r="I221" s="24">
        <v>60000</v>
      </c>
      <c r="J221" s="24"/>
      <c r="K221" s="24"/>
      <c r="L221" s="25">
        <f t="shared" si="62"/>
        <v>5088167</v>
      </c>
      <c r="N221" s="41" t="s">
        <v>288</v>
      </c>
    </row>
    <row r="222" spans="1:14" ht="27.6" x14ac:dyDescent="0.25">
      <c r="A222" s="15"/>
      <c r="B222" s="23" t="s">
        <v>270</v>
      </c>
      <c r="C222" s="23">
        <v>90000</v>
      </c>
      <c r="D222" s="23"/>
      <c r="E222" s="24">
        <v>162000</v>
      </c>
      <c r="F222" s="24"/>
      <c r="G222" s="24"/>
      <c r="H222" s="24"/>
      <c r="I222" s="24"/>
      <c r="J222" s="24"/>
      <c r="K222" s="24"/>
      <c r="L222" s="25">
        <f>SUM(E222:K222)</f>
        <v>162000</v>
      </c>
      <c r="N222" s="47" t="s">
        <v>290</v>
      </c>
    </row>
    <row r="223" spans="1:14" x14ac:dyDescent="0.25">
      <c r="A223" s="15"/>
      <c r="B223" s="23" t="s">
        <v>113</v>
      </c>
      <c r="C223" s="23">
        <v>146110</v>
      </c>
      <c r="D223" s="23">
        <v>142220</v>
      </c>
      <c r="E223" s="24">
        <v>163500</v>
      </c>
      <c r="F223" s="24"/>
      <c r="G223" s="24"/>
      <c r="H223" s="24"/>
      <c r="I223" s="24">
        <v>2070</v>
      </c>
      <c r="J223" s="24"/>
      <c r="K223" s="24"/>
      <c r="L223" s="25">
        <f t="shared" si="62"/>
        <v>165570</v>
      </c>
      <c r="N223" s="47"/>
    </row>
    <row r="224" spans="1:14" x14ac:dyDescent="0.25">
      <c r="A224" s="15"/>
      <c r="B224" s="23" t="s">
        <v>114</v>
      </c>
      <c r="C224" s="23">
        <v>176650</v>
      </c>
      <c r="D224" s="23">
        <v>156314</v>
      </c>
      <c r="E224" s="24">
        <v>180300</v>
      </c>
      <c r="F224" s="24"/>
      <c r="G224" s="24"/>
      <c r="H224" s="24"/>
      <c r="I224" s="24"/>
      <c r="J224" s="24"/>
      <c r="K224" s="24"/>
      <c r="L224" s="25">
        <f t="shared" si="62"/>
        <v>180300</v>
      </c>
      <c r="N224" s="47"/>
    </row>
    <row r="225" spans="1:14" x14ac:dyDescent="0.25">
      <c r="A225" s="15"/>
      <c r="B225" s="23" t="s">
        <v>115</v>
      </c>
      <c r="C225" s="23">
        <v>91990</v>
      </c>
      <c r="D225" s="23">
        <v>78991</v>
      </c>
      <c r="E225" s="24">
        <v>118480</v>
      </c>
      <c r="F225" s="24"/>
      <c r="G225" s="24"/>
      <c r="H225" s="24"/>
      <c r="I225" s="24">
        <v>1650</v>
      </c>
      <c r="J225" s="24"/>
      <c r="K225" s="24"/>
      <c r="L225" s="25">
        <f t="shared" si="62"/>
        <v>120130</v>
      </c>
      <c r="N225" s="47"/>
    </row>
    <row r="226" spans="1:14" ht="27.6" x14ac:dyDescent="0.25">
      <c r="A226" s="15"/>
      <c r="B226" s="23" t="s">
        <v>116</v>
      </c>
      <c r="C226" s="23">
        <v>133900</v>
      </c>
      <c r="D226" s="23">
        <v>130821</v>
      </c>
      <c r="E226" s="24">
        <v>143250</v>
      </c>
      <c r="F226" s="24"/>
      <c r="G226" s="24"/>
      <c r="H226" s="24"/>
      <c r="I226" s="24">
        <v>2990</v>
      </c>
      <c r="J226" s="24"/>
      <c r="K226" s="24"/>
      <c r="L226" s="25">
        <f t="shared" si="62"/>
        <v>146240</v>
      </c>
      <c r="N226" s="47"/>
    </row>
    <row r="227" spans="1:14" x14ac:dyDescent="0.25">
      <c r="A227" s="15"/>
      <c r="B227" s="23" t="s">
        <v>117</v>
      </c>
      <c r="C227" s="23">
        <v>150785</v>
      </c>
      <c r="D227" s="23">
        <v>148660</v>
      </c>
      <c r="E227" s="24">
        <v>166351</v>
      </c>
      <c r="F227" s="24"/>
      <c r="G227" s="24"/>
      <c r="H227" s="24"/>
      <c r="I227" s="24">
        <v>928</v>
      </c>
      <c r="J227" s="24"/>
      <c r="K227" s="24"/>
      <c r="L227" s="25">
        <f t="shared" si="62"/>
        <v>167279</v>
      </c>
      <c r="N227" s="47"/>
    </row>
    <row r="228" spans="1:14" x14ac:dyDescent="0.25">
      <c r="A228" s="15"/>
      <c r="B228" s="23" t="s">
        <v>118</v>
      </c>
      <c r="C228" s="23">
        <v>282351</v>
      </c>
      <c r="D228" s="23">
        <v>248996</v>
      </c>
      <c r="E228" s="24">
        <v>235572</v>
      </c>
      <c r="F228" s="24"/>
      <c r="G228" s="24"/>
      <c r="H228" s="24"/>
      <c r="I228" s="24">
        <v>89200</v>
      </c>
      <c r="J228" s="24"/>
      <c r="K228" s="24"/>
      <c r="L228" s="25">
        <f t="shared" si="62"/>
        <v>324772</v>
      </c>
      <c r="N228" s="47"/>
    </row>
    <row r="229" spans="1:14" x14ac:dyDescent="0.25">
      <c r="A229" s="15"/>
      <c r="B229" s="23" t="s">
        <v>119</v>
      </c>
      <c r="C229" s="23">
        <v>155430</v>
      </c>
      <c r="D229" s="23">
        <v>148800</v>
      </c>
      <c r="E229" s="24">
        <v>168530</v>
      </c>
      <c r="F229" s="24"/>
      <c r="G229" s="24"/>
      <c r="H229" s="24"/>
      <c r="I229" s="24">
        <v>6280</v>
      </c>
      <c r="J229" s="24"/>
      <c r="K229" s="24"/>
      <c r="L229" s="25">
        <f t="shared" si="62"/>
        <v>174810</v>
      </c>
      <c r="N229" s="47"/>
    </row>
    <row r="230" spans="1:14" x14ac:dyDescent="0.25">
      <c r="A230" s="15"/>
      <c r="B230" s="23" t="s">
        <v>120</v>
      </c>
      <c r="C230" s="23">
        <v>124217</v>
      </c>
      <c r="D230" s="23">
        <v>120649</v>
      </c>
      <c r="E230" s="24">
        <v>134557</v>
      </c>
      <c r="F230" s="24"/>
      <c r="G230" s="24"/>
      <c r="H230" s="24"/>
      <c r="I230" s="24">
        <v>2270</v>
      </c>
      <c r="J230" s="24"/>
      <c r="K230" s="24"/>
      <c r="L230" s="25">
        <f t="shared" si="62"/>
        <v>136827</v>
      </c>
      <c r="N230" s="47"/>
    </row>
    <row r="231" spans="1:14" x14ac:dyDescent="0.25">
      <c r="A231" s="15"/>
      <c r="B231" s="23" t="s">
        <v>121</v>
      </c>
      <c r="C231" s="23">
        <v>142827</v>
      </c>
      <c r="D231" s="23">
        <v>130520</v>
      </c>
      <c r="E231" s="24">
        <v>140253</v>
      </c>
      <c r="F231" s="24"/>
      <c r="G231" s="24"/>
      <c r="H231" s="24"/>
      <c r="I231" s="24"/>
      <c r="J231" s="24"/>
      <c r="K231" s="24"/>
      <c r="L231" s="25">
        <f t="shared" si="62"/>
        <v>140253</v>
      </c>
      <c r="N231" s="47"/>
    </row>
    <row r="232" spans="1:14" x14ac:dyDescent="0.25">
      <c r="A232" s="15"/>
      <c r="B232" s="23" t="s">
        <v>122</v>
      </c>
      <c r="C232" s="23">
        <v>157810</v>
      </c>
      <c r="D232" s="23">
        <v>142950</v>
      </c>
      <c r="E232" s="24">
        <v>171920</v>
      </c>
      <c r="F232" s="24"/>
      <c r="G232" s="24"/>
      <c r="H232" s="24"/>
      <c r="I232" s="24">
        <v>5410</v>
      </c>
      <c r="J232" s="24"/>
      <c r="K232" s="24"/>
      <c r="L232" s="25">
        <f t="shared" si="62"/>
        <v>177330</v>
      </c>
      <c r="N232" s="47"/>
    </row>
    <row r="233" spans="1:14" x14ac:dyDescent="0.25">
      <c r="A233" s="15"/>
      <c r="B233" s="23" t="s">
        <v>123</v>
      </c>
      <c r="C233" s="23">
        <v>183662</v>
      </c>
      <c r="D233" s="23">
        <v>170647</v>
      </c>
      <c r="E233" s="24">
        <v>182231</v>
      </c>
      <c r="F233" s="24"/>
      <c r="G233" s="24"/>
      <c r="H233" s="24"/>
      <c r="I233" s="24">
        <v>11400</v>
      </c>
      <c r="J233" s="24"/>
      <c r="K233" s="24"/>
      <c r="L233" s="25">
        <f t="shared" si="62"/>
        <v>193631</v>
      </c>
      <c r="N233" s="47"/>
    </row>
    <row r="234" spans="1:14" x14ac:dyDescent="0.25">
      <c r="A234" s="15"/>
      <c r="B234" s="23" t="s">
        <v>124</v>
      </c>
      <c r="C234" s="23">
        <v>152844</v>
      </c>
      <c r="D234" s="23">
        <v>128958</v>
      </c>
      <c r="E234" s="24">
        <v>155537</v>
      </c>
      <c r="F234" s="24"/>
      <c r="G234" s="24"/>
      <c r="H234" s="24"/>
      <c r="I234" s="24">
        <v>2035</v>
      </c>
      <c r="J234" s="24"/>
      <c r="K234" s="24"/>
      <c r="L234" s="25">
        <f t="shared" si="62"/>
        <v>157572</v>
      </c>
      <c r="N234" s="47"/>
    </row>
    <row r="235" spans="1:14" ht="27.6" x14ac:dyDescent="0.25">
      <c r="A235" s="15"/>
      <c r="B235" s="23" t="s">
        <v>125</v>
      </c>
      <c r="C235" s="23">
        <v>9000</v>
      </c>
      <c r="D235" s="23">
        <v>8159</v>
      </c>
      <c r="E235" s="24">
        <v>9000</v>
      </c>
      <c r="F235" s="24"/>
      <c r="G235" s="24"/>
      <c r="H235" s="24"/>
      <c r="I235" s="24"/>
      <c r="J235" s="24"/>
      <c r="K235" s="24"/>
      <c r="L235" s="25">
        <f t="shared" si="62"/>
        <v>9000</v>
      </c>
      <c r="N235" s="47"/>
    </row>
    <row r="236" spans="1:14" ht="55.2" x14ac:dyDescent="0.25">
      <c r="A236" s="15">
        <v>50</v>
      </c>
      <c r="B236" s="7" t="s">
        <v>225</v>
      </c>
      <c r="C236" s="7">
        <v>80600</v>
      </c>
      <c r="D236" s="7">
        <v>80225</v>
      </c>
      <c r="E236" s="6">
        <v>90000</v>
      </c>
      <c r="F236" s="6"/>
      <c r="G236" s="6"/>
      <c r="H236" s="6"/>
      <c r="I236" s="6"/>
      <c r="J236" s="6"/>
      <c r="K236" s="6"/>
      <c r="L236" s="5">
        <f t="shared" si="62"/>
        <v>90000</v>
      </c>
      <c r="N236" s="47"/>
    </row>
    <row r="237" spans="1:14" ht="41.4" x14ac:dyDescent="0.25">
      <c r="A237" s="15">
        <v>51</v>
      </c>
      <c r="B237" s="7" t="s">
        <v>226</v>
      </c>
      <c r="C237" s="7">
        <v>150000</v>
      </c>
      <c r="D237" s="7">
        <v>117256</v>
      </c>
      <c r="E237" s="6">
        <f>150000+3000</f>
        <v>153000</v>
      </c>
      <c r="F237" s="6"/>
      <c r="G237" s="6"/>
      <c r="H237" s="6"/>
      <c r="I237" s="6"/>
      <c r="J237" s="6"/>
      <c r="K237" s="6"/>
      <c r="L237" s="5">
        <f t="shared" si="62"/>
        <v>153000</v>
      </c>
      <c r="N237" s="41"/>
    </row>
    <row r="238" spans="1:14" x14ac:dyDescent="0.25">
      <c r="A238" s="15">
        <v>52</v>
      </c>
      <c r="B238" s="30" t="s">
        <v>137</v>
      </c>
      <c r="C238" s="30">
        <f>C239+C240</f>
        <v>1052477</v>
      </c>
      <c r="D238" s="30">
        <f>D239+D240</f>
        <v>708507</v>
      </c>
      <c r="E238" s="6">
        <f>E239+E240</f>
        <v>767737</v>
      </c>
      <c r="F238" s="6">
        <f>F239+F240</f>
        <v>0</v>
      </c>
      <c r="G238" s="6">
        <f t="shared" ref="G238:K238" si="63">G239+G240</f>
        <v>0</v>
      </c>
      <c r="H238" s="6">
        <f t="shared" si="63"/>
        <v>0</v>
      </c>
      <c r="I238" s="6">
        <f t="shared" si="63"/>
        <v>0</v>
      </c>
      <c r="J238" s="6">
        <f t="shared" si="63"/>
        <v>0</v>
      </c>
      <c r="K238" s="6">
        <f t="shared" si="63"/>
        <v>400000</v>
      </c>
      <c r="L238" s="5">
        <f t="shared" si="62"/>
        <v>1167737</v>
      </c>
      <c r="N238" s="47"/>
    </row>
    <row r="239" spans="1:14" ht="27.6" x14ac:dyDescent="0.25">
      <c r="A239" s="15" t="s">
        <v>324</v>
      </c>
      <c r="B239" s="7" t="s">
        <v>159</v>
      </c>
      <c r="C239" s="7">
        <v>88000</v>
      </c>
      <c r="D239" s="7">
        <v>16000</v>
      </c>
      <c r="E239" s="6">
        <v>96000</v>
      </c>
      <c r="F239" s="6"/>
      <c r="G239" s="6"/>
      <c r="H239" s="6"/>
      <c r="I239" s="6"/>
      <c r="J239" s="6"/>
      <c r="K239" s="6"/>
      <c r="L239" s="5">
        <f t="shared" si="62"/>
        <v>96000</v>
      </c>
      <c r="N239" s="47"/>
    </row>
    <row r="240" spans="1:14" x14ac:dyDescent="0.25">
      <c r="A240" s="15" t="s">
        <v>325</v>
      </c>
      <c r="B240" s="7" t="s">
        <v>160</v>
      </c>
      <c r="C240" s="7">
        <f>SUM(C241:C244)</f>
        <v>964477</v>
      </c>
      <c r="D240" s="7">
        <f>SUM(D241:D244)</f>
        <v>692507</v>
      </c>
      <c r="E240" s="6">
        <f>SUM(E241:E244)</f>
        <v>671737</v>
      </c>
      <c r="F240" s="6">
        <f>SUM(F241:F244)</f>
        <v>0</v>
      </c>
      <c r="G240" s="6">
        <f t="shared" ref="G240:K240" si="64">SUM(G241:G244)</f>
        <v>0</v>
      </c>
      <c r="H240" s="6">
        <f t="shared" si="64"/>
        <v>0</v>
      </c>
      <c r="I240" s="6">
        <f t="shared" si="64"/>
        <v>0</v>
      </c>
      <c r="J240" s="6">
        <f t="shared" si="64"/>
        <v>0</v>
      </c>
      <c r="K240" s="6">
        <f t="shared" si="64"/>
        <v>400000</v>
      </c>
      <c r="L240" s="5">
        <f t="shared" si="62"/>
        <v>1071737</v>
      </c>
      <c r="N240" s="47"/>
    </row>
    <row r="241" spans="1:14" ht="41.4" x14ac:dyDescent="0.25">
      <c r="A241" s="15"/>
      <c r="B241" s="26" t="s">
        <v>126</v>
      </c>
      <c r="C241" s="31">
        <v>876503</v>
      </c>
      <c r="D241" s="31">
        <v>647748</v>
      </c>
      <c r="E241" s="24">
        <f>212538+379199</f>
        <v>591737</v>
      </c>
      <c r="F241" s="24"/>
      <c r="G241" s="24"/>
      <c r="H241" s="24"/>
      <c r="I241" s="24"/>
      <c r="J241" s="24"/>
      <c r="K241" s="24">
        <v>400000</v>
      </c>
      <c r="L241" s="25">
        <f>SUM(E241:K241)</f>
        <v>991737</v>
      </c>
      <c r="N241" s="41" t="s">
        <v>289</v>
      </c>
    </row>
    <row r="242" spans="1:14" x14ac:dyDescent="0.25">
      <c r="A242" s="15"/>
      <c r="B242" s="23" t="s">
        <v>127</v>
      </c>
      <c r="C242" s="23">
        <v>71674</v>
      </c>
      <c r="D242" s="23">
        <v>44759</v>
      </c>
      <c r="E242" s="44">
        <v>20000</v>
      </c>
      <c r="F242" s="24"/>
      <c r="G242" s="24"/>
      <c r="H242" s="24"/>
      <c r="I242" s="24"/>
      <c r="J242" s="24"/>
      <c r="K242" s="24"/>
      <c r="L242" s="25">
        <f t="shared" si="62"/>
        <v>20000</v>
      </c>
      <c r="N242" s="49"/>
    </row>
    <row r="243" spans="1:14" x14ac:dyDescent="0.25">
      <c r="A243" s="15"/>
      <c r="B243" s="23" t="s">
        <v>128</v>
      </c>
      <c r="C243" s="23">
        <v>11400</v>
      </c>
      <c r="D243" s="23"/>
      <c r="E243" s="44">
        <v>20000</v>
      </c>
      <c r="F243" s="24"/>
      <c r="G243" s="24"/>
      <c r="H243" s="24"/>
      <c r="I243" s="24"/>
      <c r="J243" s="24"/>
      <c r="K243" s="24"/>
      <c r="L243" s="25">
        <f t="shared" si="62"/>
        <v>20000</v>
      </c>
      <c r="N243" s="49"/>
    </row>
    <row r="244" spans="1:14" ht="27.6" x14ac:dyDescent="0.25">
      <c r="A244" s="15"/>
      <c r="B244" s="23" t="s">
        <v>273</v>
      </c>
      <c r="C244" s="23">
        <v>4900</v>
      </c>
      <c r="D244" s="23"/>
      <c r="E244" s="24">
        <v>40000</v>
      </c>
      <c r="F244" s="24"/>
      <c r="G244" s="24"/>
      <c r="H244" s="24"/>
      <c r="I244" s="24"/>
      <c r="J244" s="24"/>
      <c r="K244" s="24"/>
      <c r="L244" s="25">
        <f t="shared" si="62"/>
        <v>40000</v>
      </c>
      <c r="M244" s="34"/>
      <c r="N244" s="49"/>
    </row>
    <row r="245" spans="1:14" x14ac:dyDescent="0.25">
      <c r="A245" s="13">
        <v>53</v>
      </c>
      <c r="B245" s="28" t="s">
        <v>129</v>
      </c>
      <c r="C245" s="28">
        <f t="shared" ref="C245:K245" si="65">C8+C140+C215</f>
        <v>59098990</v>
      </c>
      <c r="D245" s="28">
        <f t="shared" si="65"/>
        <v>54415644</v>
      </c>
      <c r="E245" s="11">
        <f t="shared" si="65"/>
        <v>38417478</v>
      </c>
      <c r="F245" s="11">
        <f t="shared" si="65"/>
        <v>4697194</v>
      </c>
      <c r="G245" s="11">
        <f t="shared" si="65"/>
        <v>13128500</v>
      </c>
      <c r="H245" s="11">
        <f t="shared" si="65"/>
        <v>3289355</v>
      </c>
      <c r="I245" s="11">
        <f t="shared" si="65"/>
        <v>1437304</v>
      </c>
      <c r="J245" s="11">
        <f t="shared" si="65"/>
        <v>1260803</v>
      </c>
      <c r="K245" s="11">
        <f t="shared" si="65"/>
        <v>400000</v>
      </c>
      <c r="L245" s="11">
        <f t="shared" si="62"/>
        <v>62630634</v>
      </c>
      <c r="N245" s="47"/>
    </row>
    <row r="246" spans="1:14" ht="66.75" customHeight="1" x14ac:dyDescent="0.25">
      <c r="A246" s="15">
        <v>54</v>
      </c>
      <c r="B246" s="7" t="s">
        <v>161</v>
      </c>
      <c r="C246" s="7">
        <v>958680</v>
      </c>
      <c r="D246" s="7">
        <v>1184760</v>
      </c>
      <c r="E246" s="6">
        <v>921400</v>
      </c>
      <c r="F246" s="6"/>
      <c r="G246" s="6"/>
      <c r="H246" s="6"/>
      <c r="I246" s="6"/>
      <c r="J246" s="6"/>
      <c r="K246" s="6"/>
      <c r="L246" s="5">
        <f t="shared" si="62"/>
        <v>921400</v>
      </c>
      <c r="N246" s="47"/>
    </row>
    <row r="247" spans="1:14" x14ac:dyDescent="0.25">
      <c r="A247" s="13">
        <v>55</v>
      </c>
      <c r="B247" s="28" t="s">
        <v>130</v>
      </c>
      <c r="C247" s="28">
        <f>C245+C246</f>
        <v>60057670</v>
      </c>
      <c r="D247" s="28">
        <f>D245+D246</f>
        <v>55600404</v>
      </c>
      <c r="E247" s="11">
        <f>E245+E246</f>
        <v>39338878</v>
      </c>
      <c r="F247" s="11">
        <f t="shared" ref="F247:K247" si="66">F245+F246</f>
        <v>4697194</v>
      </c>
      <c r="G247" s="11">
        <f t="shared" si="66"/>
        <v>13128500</v>
      </c>
      <c r="H247" s="11">
        <f t="shared" si="66"/>
        <v>3289355</v>
      </c>
      <c r="I247" s="11">
        <f t="shared" si="66"/>
        <v>1437304</v>
      </c>
      <c r="J247" s="11">
        <f t="shared" si="66"/>
        <v>1260803</v>
      </c>
      <c r="K247" s="11">
        <f t="shared" si="66"/>
        <v>400000</v>
      </c>
      <c r="L247" s="11">
        <f t="shared" si="62"/>
        <v>63552034</v>
      </c>
      <c r="N247" s="47"/>
    </row>
    <row r="250" spans="1:14" x14ac:dyDescent="0.25">
      <c r="A250" s="57"/>
      <c r="B250" s="57"/>
      <c r="C250" s="57"/>
      <c r="D250" s="57"/>
      <c r="E250" s="57"/>
      <c r="F250" s="57"/>
      <c r="G250" s="57"/>
      <c r="H250" s="57"/>
      <c r="I250" s="57"/>
      <c r="J250" s="57"/>
      <c r="K250" s="57"/>
      <c r="L250" s="57"/>
    </row>
    <row r="251" spans="1:14" x14ac:dyDescent="0.25">
      <c r="A251" s="16">
        <v>1</v>
      </c>
      <c r="B251" s="17" t="s">
        <v>138</v>
      </c>
      <c r="C251" s="17"/>
      <c r="D251" s="17"/>
      <c r="E251" s="17">
        <f t="shared" ref="E251:K251" si="67">E8</f>
        <v>23133696</v>
      </c>
      <c r="F251" s="17">
        <f t="shared" si="67"/>
        <v>3851485</v>
      </c>
      <c r="G251" s="17">
        <f t="shared" si="67"/>
        <v>13128500</v>
      </c>
      <c r="H251" s="17">
        <f t="shared" si="67"/>
        <v>1167005</v>
      </c>
      <c r="I251" s="17">
        <f t="shared" si="67"/>
        <v>1248001</v>
      </c>
      <c r="J251" s="17">
        <f t="shared" si="67"/>
        <v>506077</v>
      </c>
      <c r="K251" s="17">
        <f t="shared" si="67"/>
        <v>0</v>
      </c>
      <c r="L251" s="18">
        <f t="shared" ref="L251:L255" si="68">SUM(E251:K251)</f>
        <v>43034764</v>
      </c>
    </row>
    <row r="252" spans="1:14" ht="30.75" customHeight="1" x14ac:dyDescent="0.25">
      <c r="A252" s="16">
        <v>2</v>
      </c>
      <c r="B252" s="19" t="s">
        <v>162</v>
      </c>
      <c r="C252" s="19"/>
      <c r="D252" s="19"/>
      <c r="E252" s="17">
        <f t="shared" ref="E252:K252" si="69">E140</f>
        <v>7160423</v>
      </c>
      <c r="F252" s="17">
        <f t="shared" si="69"/>
        <v>308700</v>
      </c>
      <c r="G252" s="17">
        <f t="shared" si="69"/>
        <v>0</v>
      </c>
      <c r="H252" s="17">
        <f t="shared" si="69"/>
        <v>2079333</v>
      </c>
      <c r="I252" s="17">
        <f t="shared" si="69"/>
        <v>5070</v>
      </c>
      <c r="J252" s="17">
        <f t="shared" si="69"/>
        <v>754726</v>
      </c>
      <c r="K252" s="17">
        <f t="shared" si="69"/>
        <v>0</v>
      </c>
      <c r="L252" s="18">
        <f t="shared" si="68"/>
        <v>10308252</v>
      </c>
    </row>
    <row r="253" spans="1:14" s="8" customFormat="1" ht="27.6" x14ac:dyDescent="0.25">
      <c r="A253" s="15">
        <v>3</v>
      </c>
      <c r="B253" s="7" t="s">
        <v>163</v>
      </c>
      <c r="C253" s="7"/>
      <c r="D253" s="7"/>
      <c r="E253" s="6">
        <f t="shared" ref="E253:K253" si="70">E215</f>
        <v>8123359</v>
      </c>
      <c r="F253" s="6">
        <f t="shared" si="70"/>
        <v>537009</v>
      </c>
      <c r="G253" s="6">
        <f t="shared" si="70"/>
        <v>0</v>
      </c>
      <c r="H253" s="6">
        <f t="shared" si="70"/>
        <v>43017</v>
      </c>
      <c r="I253" s="6">
        <f t="shared" si="70"/>
        <v>184233</v>
      </c>
      <c r="J253" s="6">
        <f t="shared" si="70"/>
        <v>0</v>
      </c>
      <c r="K253" s="6">
        <f t="shared" si="70"/>
        <v>400000</v>
      </c>
      <c r="L253" s="5">
        <f t="shared" si="68"/>
        <v>9287618</v>
      </c>
      <c r="N253" s="46"/>
    </row>
    <row r="254" spans="1:14" x14ac:dyDescent="0.25">
      <c r="A254" s="20">
        <v>4</v>
      </c>
      <c r="B254" s="21" t="s">
        <v>129</v>
      </c>
      <c r="C254" s="21"/>
      <c r="D254" s="21"/>
      <c r="E254" s="21">
        <f>SUM(E251:E253)</f>
        <v>38417478</v>
      </c>
      <c r="F254" s="21">
        <f t="shared" ref="F254:K254" si="71">SUM(F251:F253)</f>
        <v>4697194</v>
      </c>
      <c r="G254" s="21">
        <f t="shared" si="71"/>
        <v>13128500</v>
      </c>
      <c r="H254" s="21">
        <f t="shared" si="71"/>
        <v>3289355</v>
      </c>
      <c r="I254" s="21">
        <f t="shared" si="71"/>
        <v>1437304</v>
      </c>
      <c r="J254" s="21">
        <f t="shared" si="71"/>
        <v>1260803</v>
      </c>
      <c r="K254" s="21">
        <f t="shared" si="71"/>
        <v>400000</v>
      </c>
      <c r="L254" s="21">
        <f t="shared" si="68"/>
        <v>62630634</v>
      </c>
    </row>
    <row r="255" spans="1:14" s="8" customFormat="1" ht="27.6" x14ac:dyDescent="0.25">
      <c r="A255" s="15">
        <v>5</v>
      </c>
      <c r="B255" s="7" t="s">
        <v>136</v>
      </c>
      <c r="C255" s="7"/>
      <c r="D255" s="7"/>
      <c r="E255" s="6">
        <f>E246</f>
        <v>921400</v>
      </c>
      <c r="F255" s="6">
        <f t="shared" ref="F255:K255" si="72">F246</f>
        <v>0</v>
      </c>
      <c r="G255" s="6">
        <f t="shared" si="72"/>
        <v>0</v>
      </c>
      <c r="H255" s="6">
        <f t="shared" si="72"/>
        <v>0</v>
      </c>
      <c r="I255" s="6">
        <f t="shared" si="72"/>
        <v>0</v>
      </c>
      <c r="J255" s="6">
        <f t="shared" si="72"/>
        <v>0</v>
      </c>
      <c r="K255" s="6">
        <f t="shared" si="72"/>
        <v>0</v>
      </c>
      <c r="L255" s="5">
        <f t="shared" si="68"/>
        <v>921400</v>
      </c>
      <c r="N255" s="46"/>
    </row>
    <row r="256" spans="1:14" x14ac:dyDescent="0.25">
      <c r="A256" s="20">
        <v>6</v>
      </c>
      <c r="B256" s="21" t="s">
        <v>130</v>
      </c>
      <c r="C256" s="21"/>
      <c r="D256" s="21"/>
      <c r="E256" s="21">
        <f>E254+E255</f>
        <v>39338878</v>
      </c>
      <c r="F256" s="21">
        <f t="shared" ref="F256:K256" si="73">F254+F255</f>
        <v>4697194</v>
      </c>
      <c r="G256" s="21">
        <f t="shared" si="73"/>
        <v>13128500</v>
      </c>
      <c r="H256" s="21">
        <f t="shared" si="73"/>
        <v>3289355</v>
      </c>
      <c r="I256" s="21">
        <f t="shared" si="73"/>
        <v>1437304</v>
      </c>
      <c r="J256" s="21">
        <f t="shared" si="73"/>
        <v>1260803</v>
      </c>
      <c r="K256" s="21">
        <f t="shared" si="73"/>
        <v>400000</v>
      </c>
      <c r="L256" s="21">
        <f>SUM(E256:K256)</f>
        <v>63552034</v>
      </c>
    </row>
    <row r="258" spans="6:9" x14ac:dyDescent="0.25">
      <c r="F258" s="9"/>
      <c r="G258" s="9"/>
      <c r="H258" s="9"/>
      <c r="I258" s="9"/>
    </row>
  </sheetData>
  <mergeCells count="14">
    <mergeCell ref="N5:N6"/>
    <mergeCell ref="A250:L250"/>
    <mergeCell ref="A3:L3"/>
    <mergeCell ref="A5:A6"/>
    <mergeCell ref="B5:B6"/>
    <mergeCell ref="E5:E6"/>
    <mergeCell ref="F5:G5"/>
    <mergeCell ref="H5:H6"/>
    <mergeCell ref="I5:I6"/>
    <mergeCell ref="J5:J6"/>
    <mergeCell ref="K5:K6"/>
    <mergeCell ref="C5:C6"/>
    <mergeCell ref="D5:D6"/>
    <mergeCell ref="L5:L6"/>
  </mergeCells>
  <phoneticPr fontId="4" type="noConversion"/>
  <pageMargins left="0.15748031496062992" right="0.15748031496062992" top="0.74803149606299213" bottom="0.23622047244094491" header="0.31496062992125984" footer="0.15748031496062992"/>
  <pageSetup paperSize="9" scale="4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9784-B851-4BA5-9B80-1A9250DDF089}">
  <dimension ref="A1"/>
  <sheetViews>
    <sheetView workbookViewId="0"/>
  </sheetViews>
  <sheetFormatPr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Lapas2</vt:lpstr>
      <vt:lpstr>Lapas1!Print_Titles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Narusiene</dc:creator>
  <cp:lastModifiedBy>Dovilė Dačkauskaitė</cp:lastModifiedBy>
  <cp:lastPrinted>2026-01-29T08:35:53Z</cp:lastPrinted>
  <dcterms:created xsi:type="dcterms:W3CDTF">2025-02-04T06:34:54Z</dcterms:created>
  <dcterms:modified xsi:type="dcterms:W3CDTF">2026-02-11T08:56:36Z</dcterms:modified>
</cp:coreProperties>
</file>