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Neeilinis 2026-02-11/TSP 2026-02-11/"/>
    </mc:Choice>
  </mc:AlternateContent>
  <xr:revisionPtr revIDLastSave="0" documentId="8_{FAC5EFE6-B0E9-4AAE-A467-3A8EF4C8B3E9}" xr6:coauthVersionLast="47" xr6:coauthVersionMax="47" xr10:uidLastSave="{00000000-0000-0000-0000-000000000000}"/>
  <bookViews>
    <workbookView xWindow="-108" yWindow="-108" windowWidth="23256" windowHeight="13896" xr2:uid="{7D13C3CB-E5EA-48F9-AEBE-C51465F65362}"/>
  </bookViews>
  <sheets>
    <sheet name="Lapas1" sheetId="1" r:id="rId1"/>
  </sheets>
  <definedNames>
    <definedName name="_xlnm.Print_Titles" localSheetId="0">Lapas1!$5:$8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  <c r="K52" i="1" l="1"/>
  <c r="H40" i="1" l="1"/>
  <c r="S50" i="1"/>
  <c r="R50" i="1"/>
  <c r="Q50" i="1"/>
  <c r="P50" i="1"/>
  <c r="O50" i="1"/>
  <c r="N50" i="1"/>
  <c r="D50" i="1"/>
  <c r="E43" i="1"/>
  <c r="E50" i="1" s="1"/>
  <c r="B48" i="1"/>
  <c r="F48" i="1" s="1"/>
  <c r="B44" i="1"/>
  <c r="F44" i="1" s="1"/>
  <c r="C43" i="1"/>
  <c r="B43" i="1"/>
  <c r="B49" i="1"/>
  <c r="F49" i="1" s="1"/>
  <c r="B47" i="1"/>
  <c r="F47" i="1" s="1"/>
  <c r="B45" i="1"/>
  <c r="F45" i="1" s="1"/>
  <c r="B42" i="1"/>
  <c r="F42" i="1" s="1"/>
  <c r="B41" i="1"/>
  <c r="F41" i="1" s="1"/>
  <c r="B40" i="1"/>
  <c r="F40" i="1" s="1"/>
  <c r="B39" i="1"/>
  <c r="F39" i="1" s="1"/>
  <c r="B38" i="1"/>
  <c r="T37" i="1"/>
  <c r="T50" i="1" s="1"/>
  <c r="G49" i="1"/>
  <c r="G48" i="1"/>
  <c r="G47" i="1"/>
  <c r="G46" i="1"/>
  <c r="F46" i="1"/>
  <c r="G45" i="1"/>
  <c r="G44" i="1"/>
  <c r="F43" i="1"/>
  <c r="G42" i="1"/>
  <c r="G41" i="1"/>
  <c r="G40" i="1"/>
  <c r="G39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L40" i="1"/>
  <c r="I39" i="1"/>
  <c r="H39" i="1"/>
  <c r="M41" i="1" l="1"/>
  <c r="K41" i="1"/>
  <c r="M47" i="1"/>
  <c r="K47" i="1"/>
  <c r="L42" i="1"/>
  <c r="J42" i="1"/>
  <c r="L44" i="1"/>
  <c r="J44" i="1"/>
  <c r="L46" i="1"/>
  <c r="J46" i="1"/>
  <c r="L48" i="1"/>
  <c r="J48" i="1"/>
  <c r="M39" i="1"/>
  <c r="K39" i="1"/>
  <c r="M43" i="1"/>
  <c r="K43" i="1"/>
  <c r="M49" i="1"/>
  <c r="K49" i="1"/>
  <c r="M40" i="1"/>
  <c r="K40" i="1"/>
  <c r="M42" i="1"/>
  <c r="K42" i="1"/>
  <c r="M44" i="1"/>
  <c r="K44" i="1"/>
  <c r="M46" i="1"/>
  <c r="K46" i="1"/>
  <c r="M48" i="1"/>
  <c r="K48" i="1"/>
  <c r="M45" i="1"/>
  <c r="K45" i="1"/>
  <c r="L39" i="1"/>
  <c r="J39" i="1"/>
  <c r="L41" i="1"/>
  <c r="J41" i="1"/>
  <c r="L43" i="1"/>
  <c r="J43" i="1"/>
  <c r="L45" i="1"/>
  <c r="J45" i="1"/>
  <c r="L47" i="1"/>
  <c r="J47" i="1"/>
  <c r="L49" i="1"/>
  <c r="J49" i="1"/>
  <c r="J40" i="1"/>
  <c r="G43" i="1"/>
  <c r="B50" i="1"/>
  <c r="F50" i="1" s="1"/>
  <c r="C50" i="1"/>
  <c r="G50" i="1" s="1"/>
  <c r="U37" i="1"/>
  <c r="I37" i="1" l="1"/>
  <c r="K37" i="1" s="1"/>
  <c r="U50" i="1"/>
  <c r="M37" i="1" l="1"/>
  <c r="H38" i="1"/>
  <c r="J38" i="1" s="1"/>
  <c r="H37" i="1"/>
  <c r="J37" i="1" s="1"/>
  <c r="H53" i="1"/>
  <c r="J53" i="1" s="1"/>
  <c r="H52" i="1"/>
  <c r="J52" i="1" s="1"/>
  <c r="H50" i="1" l="1"/>
  <c r="I38" i="1"/>
  <c r="L38" i="1"/>
  <c r="G38" i="1"/>
  <c r="F38" i="1"/>
  <c r="L37" i="1"/>
  <c r="G37" i="1"/>
  <c r="F37" i="1"/>
  <c r="L53" i="1"/>
  <c r="I53" i="1"/>
  <c r="G53" i="1"/>
  <c r="F53" i="1"/>
  <c r="M52" i="1"/>
  <c r="L52" i="1"/>
  <c r="G52" i="1"/>
  <c r="F52" i="1"/>
  <c r="H23" i="1"/>
  <c r="J23" i="1" s="1"/>
  <c r="I24" i="1"/>
  <c r="K24" i="1" s="1"/>
  <c r="I25" i="1"/>
  <c r="K25" i="1" s="1"/>
  <c r="I26" i="1"/>
  <c r="K26" i="1" s="1"/>
  <c r="I27" i="1"/>
  <c r="K27" i="1" s="1"/>
  <c r="I28" i="1"/>
  <c r="K28" i="1" s="1"/>
  <c r="I29" i="1"/>
  <c r="K29" i="1" s="1"/>
  <c r="I30" i="1"/>
  <c r="K30" i="1" s="1"/>
  <c r="I31" i="1"/>
  <c r="K31" i="1" s="1"/>
  <c r="I32" i="1"/>
  <c r="I33" i="1"/>
  <c r="K33" i="1" s="1"/>
  <c r="I34" i="1"/>
  <c r="K34" i="1" s="1"/>
  <c r="I23" i="1"/>
  <c r="K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H33" i="1"/>
  <c r="J33" i="1" s="1"/>
  <c r="H34" i="1"/>
  <c r="J34" i="1" s="1"/>
  <c r="O35" i="1"/>
  <c r="P35" i="1"/>
  <c r="Q35" i="1"/>
  <c r="R35" i="1"/>
  <c r="S35" i="1"/>
  <c r="T35" i="1"/>
  <c r="U35" i="1"/>
  <c r="N35" i="1"/>
  <c r="D35" i="1"/>
  <c r="E35" i="1"/>
  <c r="C35" i="1"/>
  <c r="B35" i="1"/>
  <c r="M34" i="1" l="1"/>
  <c r="M53" i="1"/>
  <c r="K53" i="1"/>
  <c r="I50" i="1"/>
  <c r="K50" i="1" s="1"/>
  <c r="K38" i="1"/>
  <c r="L50" i="1"/>
  <c r="J50" i="1"/>
  <c r="M38" i="1"/>
  <c r="I35" i="1"/>
  <c r="K35" i="1" s="1"/>
  <c r="H35" i="1"/>
  <c r="J35" i="1" s="1"/>
  <c r="M50" i="1" l="1"/>
  <c r="G24" i="1"/>
  <c r="F9" i="1"/>
  <c r="M24" i="1" l="1"/>
  <c r="L24" i="1"/>
  <c r="M23" i="1"/>
  <c r="L23" i="1"/>
  <c r="F24" i="1"/>
  <c r="G23" i="1"/>
  <c r="F23" i="1"/>
  <c r="M25" i="1"/>
  <c r="M26" i="1"/>
  <c r="M27" i="1"/>
  <c r="M28" i="1"/>
  <c r="M29" i="1"/>
  <c r="M30" i="1"/>
  <c r="M31" i="1"/>
  <c r="M33" i="1"/>
  <c r="L25" i="1"/>
  <c r="L26" i="1"/>
  <c r="L27" i="1"/>
  <c r="L28" i="1"/>
  <c r="L29" i="1"/>
  <c r="L30" i="1"/>
  <c r="L31" i="1"/>
  <c r="L33" i="1"/>
  <c r="L34" i="1"/>
  <c r="G25" i="1"/>
  <c r="G26" i="1"/>
  <c r="G27" i="1"/>
  <c r="G28" i="1"/>
  <c r="G29" i="1"/>
  <c r="G30" i="1"/>
  <c r="G31" i="1"/>
  <c r="G33" i="1"/>
  <c r="G34" i="1"/>
  <c r="F25" i="1"/>
  <c r="F26" i="1"/>
  <c r="F27" i="1"/>
  <c r="F28" i="1"/>
  <c r="F29" i="1"/>
  <c r="F30" i="1"/>
  <c r="F31" i="1"/>
  <c r="F33" i="1"/>
  <c r="L35" i="1"/>
  <c r="G35" i="1" l="1"/>
  <c r="F35" i="1"/>
  <c r="M35" i="1"/>
  <c r="G10" i="1"/>
  <c r="G11" i="1"/>
  <c r="G12" i="1"/>
  <c r="G13" i="1"/>
  <c r="G14" i="1"/>
  <c r="G15" i="1"/>
  <c r="G16" i="1"/>
  <c r="G17" i="1"/>
  <c r="G18" i="1"/>
  <c r="G19" i="1"/>
  <c r="G20" i="1"/>
  <c r="F10" i="1"/>
  <c r="F11" i="1"/>
  <c r="F12" i="1"/>
  <c r="F13" i="1"/>
  <c r="F14" i="1"/>
  <c r="F15" i="1"/>
  <c r="F16" i="1"/>
  <c r="F17" i="1"/>
  <c r="F18" i="1"/>
  <c r="F19" i="1"/>
  <c r="F20" i="1"/>
  <c r="B21" i="1"/>
  <c r="B55" i="1" s="1"/>
  <c r="G9" i="1"/>
  <c r="C21" i="1"/>
  <c r="C55" i="1" s="1"/>
  <c r="P10" i="1"/>
  <c r="Q10" i="1"/>
  <c r="P11" i="1"/>
  <c r="Q11" i="1"/>
  <c r="P12" i="1"/>
  <c r="Q12" i="1"/>
  <c r="P13" i="1"/>
  <c r="Q13" i="1"/>
  <c r="P14" i="1"/>
  <c r="Q14" i="1"/>
  <c r="P15" i="1"/>
  <c r="Q15" i="1"/>
  <c r="P16" i="1"/>
  <c r="Q16" i="1"/>
  <c r="I17" i="1" l="1"/>
  <c r="K17" i="1" s="1"/>
  <c r="I18" i="1"/>
  <c r="K18" i="1" s="1"/>
  <c r="I19" i="1"/>
  <c r="K19" i="1" s="1"/>
  <c r="I20" i="1"/>
  <c r="K20" i="1" s="1"/>
  <c r="R20" i="1" l="1"/>
  <c r="R19" i="1"/>
  <c r="H19" i="1" s="1"/>
  <c r="J19" i="1" s="1"/>
  <c r="R18" i="1"/>
  <c r="H18" i="1" s="1"/>
  <c r="R17" i="1"/>
  <c r="H17" i="1" s="1"/>
  <c r="J17" i="1" s="1"/>
  <c r="R16" i="1"/>
  <c r="R15" i="1"/>
  <c r="H15" i="1" s="1"/>
  <c r="R14" i="1"/>
  <c r="R13" i="1"/>
  <c r="H13" i="1" s="1"/>
  <c r="R12" i="1"/>
  <c r="H12" i="1" s="1"/>
  <c r="R11" i="1"/>
  <c r="H11" i="1" s="1"/>
  <c r="R10" i="1"/>
  <c r="R9" i="1"/>
  <c r="H9" i="1" s="1"/>
  <c r="I16" i="1"/>
  <c r="K16" i="1" s="1"/>
  <c r="I15" i="1"/>
  <c r="I14" i="1"/>
  <c r="I13" i="1"/>
  <c r="I12" i="1"/>
  <c r="I11" i="1"/>
  <c r="I10" i="1"/>
  <c r="N10" i="1"/>
  <c r="I9" i="1"/>
  <c r="H16" i="1"/>
  <c r="H20" i="1"/>
  <c r="U21" i="1"/>
  <c r="U55" i="1" s="1"/>
  <c r="T21" i="1"/>
  <c r="T55" i="1" s="1"/>
  <c r="X21" i="1"/>
  <c r="W21" i="1"/>
  <c r="Q21" i="1"/>
  <c r="Q55" i="1" s="1"/>
  <c r="S21" i="1"/>
  <c r="S55" i="1" s="1"/>
  <c r="L16" i="1" l="1"/>
  <c r="J16" i="1"/>
  <c r="L9" i="1"/>
  <c r="J9" i="1"/>
  <c r="M9" i="1"/>
  <c r="K9" i="1"/>
  <c r="L12" i="1"/>
  <c r="J12" i="1"/>
  <c r="L15" i="1"/>
  <c r="J15" i="1"/>
  <c r="L18" i="1"/>
  <c r="J18" i="1"/>
  <c r="M14" i="1"/>
  <c r="K14" i="1"/>
  <c r="L20" i="1"/>
  <c r="J20" i="1"/>
  <c r="M12" i="1"/>
  <c r="K12" i="1"/>
  <c r="M15" i="1"/>
  <c r="K15" i="1"/>
  <c r="L11" i="1"/>
  <c r="J11" i="1"/>
  <c r="M11" i="1"/>
  <c r="K11" i="1"/>
  <c r="L13" i="1"/>
  <c r="J13" i="1"/>
  <c r="M10" i="1"/>
  <c r="K10" i="1"/>
  <c r="M13" i="1"/>
  <c r="K13" i="1"/>
  <c r="H10" i="1"/>
  <c r="R21" i="1"/>
  <c r="R55" i="1" s="1"/>
  <c r="H14" i="1"/>
  <c r="P21" i="1"/>
  <c r="P55" i="1" s="1"/>
  <c r="D21" i="1"/>
  <c r="D55" i="1" s="1"/>
  <c r="F55" i="1" s="1"/>
  <c r="N21" i="1"/>
  <c r="N55" i="1" s="1"/>
  <c r="O21" i="1"/>
  <c r="O55" i="1" s="1"/>
  <c r="M18" i="1"/>
  <c r="M19" i="1"/>
  <c r="M17" i="1"/>
  <c r="L19" i="1"/>
  <c r="I21" i="1"/>
  <c r="M16" i="1"/>
  <c r="M20" i="1"/>
  <c r="L17" i="1"/>
  <c r="E21" i="1"/>
  <c r="E55" i="1" s="1"/>
  <c r="G55" i="1" s="1"/>
  <c r="L10" i="1" l="1"/>
  <c r="J10" i="1"/>
  <c r="I55" i="1"/>
  <c r="K21" i="1"/>
  <c r="L14" i="1"/>
  <c r="J14" i="1"/>
  <c r="G21" i="1"/>
  <c r="F21" i="1"/>
  <c r="H21" i="1"/>
  <c r="M21" i="1"/>
  <c r="M55" i="1" l="1"/>
  <c r="K55" i="1"/>
  <c r="H55" i="1"/>
  <c r="J21" i="1"/>
  <c r="L21" i="1"/>
  <c r="L55" i="1" l="1"/>
  <c r="J55" i="1"/>
</calcChain>
</file>

<file path=xl/sharedStrings.xml><?xml version="1.0" encoding="utf-8"?>
<sst xmlns="http://schemas.openxmlformats.org/spreadsheetml/2006/main" count="94" uniqueCount="65">
  <si>
    <t>Įstaiga</t>
  </si>
  <si>
    <t>Pokytis (%)</t>
  </si>
  <si>
    <t>Išlaidoms</t>
  </si>
  <si>
    <t>Iš viso</t>
  </si>
  <si>
    <t>Iš jų darbo užmokesčiui</t>
  </si>
  <si>
    <t>Jurbarko r. Eržvilko gimnazija</t>
  </si>
  <si>
    <t>Jurbarko r. Veliuonos Antano ir Jono Juškų gimnazija</t>
  </si>
  <si>
    <t>Jurbarko Naujamiesčio progimnazija</t>
  </si>
  <si>
    <t>Jurbarko Vytauto Didžiojo pagrindinė mokykla</t>
  </si>
  <si>
    <t>Jurbarko r. Skirsnemunės Jurgio Baltrušaičio pagrindinė mokykla</t>
  </si>
  <si>
    <t xml:space="preserve">Jurbarko r. Šimkaičių Jono Žemaičio pagrindinė mokykla </t>
  </si>
  <si>
    <t>Jurbarko "Ąžuoliuko" mokykla</t>
  </si>
  <si>
    <t>Jurbarko r. Jurbarkų darželis-mokykla</t>
  </si>
  <si>
    <t>Jurbarko vaikų lopšelis-darželis "Nykštukas"</t>
  </si>
  <si>
    <t>Jurbarko Antano Sodeikos meno mokykla</t>
  </si>
  <si>
    <t>Jurbarko švietimo centras</t>
  </si>
  <si>
    <t>Švietimo įstaigų palyginimas iš viso</t>
  </si>
  <si>
    <t>Savivaldybės biudžeto lėšos</t>
  </si>
  <si>
    <t>iš jų:</t>
  </si>
  <si>
    <t>Mokinių skaičius</t>
  </si>
  <si>
    <t>Klasių komplektai</t>
  </si>
  <si>
    <t>Kitos tikslinės valstybės biudžeto lėšos</t>
  </si>
  <si>
    <t>Ugdymo reikmėms finansuoti</t>
  </si>
  <si>
    <t>Įstaigų pajamos</t>
  </si>
  <si>
    <t>Jurbarko Antano Giedraičio-Gidriaus gimnazija</t>
  </si>
  <si>
    <t>Planuojami 2026 m. asignavimai Eur</t>
  </si>
  <si>
    <t>Jurbarko kultūros centras</t>
  </si>
  <si>
    <t>Veliuonos kultūros centras</t>
  </si>
  <si>
    <t>Eržvilko kultūros centras</t>
  </si>
  <si>
    <t>Mažosios Lietuvos Jurbarko krašto kultūros centras</t>
  </si>
  <si>
    <t>Klausučių kultūros centras</t>
  </si>
  <si>
    <t>Jurbarko rajono savivaldybės viešoji biblioteka</t>
  </si>
  <si>
    <t>Jurbarko krašto muziejus</t>
  </si>
  <si>
    <t>Jurbarko sporto centras</t>
  </si>
  <si>
    <t>Jurbarko rajono priešgaisrinė tarnyba</t>
  </si>
  <si>
    <t>Seredžiaus senelių globos namai</t>
  </si>
  <si>
    <t>Biudžetinių įstaigų palyginimas iš viso</t>
  </si>
  <si>
    <t>Jurbarko rajono savivaldybės visuomenės sveikatos biuras</t>
  </si>
  <si>
    <t>Vinco Grybo memorialinis muziejus</t>
  </si>
  <si>
    <t>Jurbarko rajono savivaldybės kontrolės ir audito tarnyba</t>
  </si>
  <si>
    <t>Jurbarko rajono savivaldybės taryba</t>
  </si>
  <si>
    <t>Jurbarko rajono savivaldybės administracija
(vykdomosios institucijos bendrosios paslaugos)</t>
  </si>
  <si>
    <t>Bendrosioms paslaugoms iš viso</t>
  </si>
  <si>
    <t>mažas padidėjimas, nes buvo išmokėta išeitinė seniūno pavaduotojai</t>
  </si>
  <si>
    <t>didelis padidėjimas, nes planuojamas pilnas seniūno etatas, kuris buvo neužimtas</t>
  </si>
  <si>
    <t>planuojama išeitinė seniūnui</t>
  </si>
  <si>
    <t>daugiau MMA etatų, lyginant su kitomis seniūnijomis</t>
  </si>
  <si>
    <t>Eržvilko seniūnijos 
bendrosios paslaugos</t>
  </si>
  <si>
    <t>Girdžių seniūnijos 
bendrosios paslaugos</t>
  </si>
  <si>
    <t>Juodaičių seniūnijos 
bendrosios paslaugos</t>
  </si>
  <si>
    <t>Jurbarko miesto seniūnijos 
bendrosios paslaugos</t>
  </si>
  <si>
    <t>Jurbarkų seniūnijos 
bendrosios paslaugos</t>
  </si>
  <si>
    <t>Raudonės seniūnijos 
bendrosios paslaugos</t>
  </si>
  <si>
    <t>Seredžiaus seniūnijos 
bendrosios paslaugos</t>
  </si>
  <si>
    <t>Skirsnemunės seniūnijos 
bendrosios paslaugos</t>
  </si>
  <si>
    <t>Smalininkų seniūnijos 
bendrosios paslaugos</t>
  </si>
  <si>
    <t>Šimkaičių seniūnijos 
bendrosios paslaugos</t>
  </si>
  <si>
    <t>Veliuonos seniūnijos 
bendrosios paslaugos</t>
  </si>
  <si>
    <t xml:space="preserve">Viešvilės seniūnijos 
bendrosios paslaugos </t>
  </si>
  <si>
    <t>Pokytis (%)
(lyginant su 2025 m. įvykdymu)</t>
  </si>
  <si>
    <r>
      <t xml:space="preserve">Faktinis 2025 m. asignavimų plano įvykdymas Eur 
(2025-12-31) </t>
    </r>
    <r>
      <rPr>
        <b/>
        <sz val="11"/>
        <color rgb="FFC00000"/>
        <rFont val="Times New Roman"/>
        <family val="1"/>
        <charset val="186"/>
      </rPr>
      <t>su visais tikslinimais iš programos</t>
    </r>
  </si>
  <si>
    <t>BIUDŽETINIŲ ĮSTAIGŲ 2025-2026 METŲ ASIGNAVIMŲ PALYGINIMAS</t>
  </si>
  <si>
    <t>darbo užmokesčiui</t>
  </si>
  <si>
    <t xml:space="preserve">Patvirtinti 2025 m. 
asignavimai Eur </t>
  </si>
  <si>
    <t>5 lentelė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</si>
</sst>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2"/>
      <color theme="1"/>
      <name val="Times New Roman"/>
      <family val="2"/>
      <charset val="186"/>
    </font>
    <font>
      <b/>
      <sz val="12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rgb="FFC0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60">
    <xf numFmtId="0" fontId="0" fillId="0" borderId="0" xfId="0"/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5" xfId="0" applyBorder="1" applyAlignment="1">
      <alignment horizontal="center" vertical="center"/>
    </xf>
    <xf numFmtId="0" fontId="0" fillId="0" borderId="6" xfId="0" applyBorder="1"/>
    <xf numFmtId="2" fontId="0" fillId="0" borderId="1" xfId="0" applyNumberForma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164" fontId="1" fillId="2" borderId="0" xfId="0" applyNumberFormat="1" applyFont="1" applyFill="1" applyAlignment="1">
      <alignment horizontal="center" vertical="center"/>
    </xf>
    <xf numFmtId="0" fontId="6" fillId="0" borderId="2" xfId="0" applyFont="1" applyBorder="1" applyAlignment="1">
      <alignment vertical="top" wrapText="1"/>
    </xf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0" fillId="0" borderId="1" xfId="0" applyBorder="1"/>
    <xf numFmtId="164" fontId="6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0" fillId="0" borderId="0" xfId="0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Įprastas" xfId="0" builtinId="0"/>
    <cellStyle name="Normal" xfId="1" xr:uid="{C6DE7509-FC66-4739-947F-E9C3523668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88B6F-1C7B-4533-822D-D0D117352659}">
  <dimension ref="A1:Z57"/>
  <sheetViews>
    <sheetView tabSelected="1" zoomScale="90" zoomScaleNormal="90" workbookViewId="0">
      <pane xSplit="1" ySplit="8" topLeftCell="B49" activePane="bottomRight" state="frozen"/>
      <selection pane="topRight" activeCell="B1" sqref="B1"/>
      <selection pane="bottomLeft" activeCell="A7" sqref="A7"/>
      <selection pane="bottomRight" activeCell="AB53" sqref="AB53"/>
    </sheetView>
  </sheetViews>
  <sheetFormatPr defaultRowHeight="15.6" x14ac:dyDescent="0.3"/>
  <cols>
    <col min="1" max="1" width="28.19921875" customWidth="1"/>
    <col min="2" max="2" width="13.09765625" customWidth="1"/>
    <col min="3" max="3" width="13.5" customWidth="1"/>
    <col min="4" max="4" width="11.5" hidden="1" customWidth="1"/>
    <col min="5" max="7" width="13.8984375" hidden="1" customWidth="1"/>
    <col min="8" max="8" width="10.5" customWidth="1"/>
    <col min="9" max="9" width="11.8984375" customWidth="1"/>
    <col min="11" max="11" width="11.3984375" customWidth="1"/>
    <col min="12" max="12" width="0" hidden="1" customWidth="1"/>
    <col min="13" max="14" width="11.3984375" hidden="1" customWidth="1"/>
    <col min="15" max="15" width="12" hidden="1" customWidth="1"/>
    <col min="16" max="16" width="11" hidden="1" customWidth="1"/>
    <col min="17" max="17" width="11.3984375" hidden="1" customWidth="1"/>
    <col min="18" max="18" width="12.3984375" hidden="1" customWidth="1"/>
    <col min="19" max="21" width="12.59765625" hidden="1" customWidth="1"/>
    <col min="22" max="22" width="1.69921875" hidden="1" customWidth="1"/>
    <col min="23" max="23" width="10.3984375" hidden="1" customWidth="1"/>
    <col min="24" max="24" width="11.5" hidden="1" customWidth="1"/>
    <col min="25" max="25" width="3.5" hidden="1" customWidth="1"/>
    <col min="26" max="26" width="0" hidden="1" customWidth="1"/>
  </cols>
  <sheetData>
    <row r="1" spans="1:24" x14ac:dyDescent="0.3">
      <c r="J1" t="s">
        <v>64</v>
      </c>
    </row>
    <row r="3" spans="1:24" x14ac:dyDescent="0.3">
      <c r="A3" s="54" t="s">
        <v>61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24" x14ac:dyDescent="0.3">
      <c r="T4" s="21"/>
      <c r="U4" s="21"/>
    </row>
    <row r="5" spans="1:24" ht="43.5" customHeight="1" x14ac:dyDescent="0.3">
      <c r="A5" s="55" t="s">
        <v>0</v>
      </c>
      <c r="B5" s="58" t="s">
        <v>63</v>
      </c>
      <c r="C5" s="59"/>
      <c r="D5" s="57" t="s">
        <v>60</v>
      </c>
      <c r="E5" s="57"/>
      <c r="F5" s="51" t="s">
        <v>1</v>
      </c>
      <c r="G5" s="51"/>
      <c r="H5" s="57" t="s">
        <v>25</v>
      </c>
      <c r="I5" s="57"/>
      <c r="J5" s="45" t="s">
        <v>1</v>
      </c>
      <c r="K5" s="51"/>
      <c r="L5" s="45" t="s">
        <v>59</v>
      </c>
      <c r="M5" s="51"/>
      <c r="N5" s="45" t="s">
        <v>21</v>
      </c>
      <c r="O5" s="45"/>
      <c r="P5" s="45" t="s">
        <v>22</v>
      </c>
      <c r="Q5" s="45"/>
      <c r="R5" s="45" t="s">
        <v>23</v>
      </c>
      <c r="S5" s="46"/>
      <c r="T5" s="49" t="s">
        <v>17</v>
      </c>
      <c r="U5" s="50"/>
      <c r="V5" s="16"/>
      <c r="W5" s="45" t="s">
        <v>19</v>
      </c>
      <c r="X5" s="45" t="s">
        <v>20</v>
      </c>
    </row>
    <row r="6" spans="1:24" ht="30" customHeight="1" x14ac:dyDescent="0.3">
      <c r="A6" s="55"/>
      <c r="B6" s="52" t="s">
        <v>2</v>
      </c>
      <c r="C6" s="53"/>
      <c r="D6" s="52" t="s">
        <v>2</v>
      </c>
      <c r="E6" s="53"/>
      <c r="F6" s="52" t="s">
        <v>2</v>
      </c>
      <c r="G6" s="53"/>
      <c r="H6" s="52" t="s">
        <v>2</v>
      </c>
      <c r="I6" s="53"/>
      <c r="J6" s="52" t="s">
        <v>2</v>
      </c>
      <c r="K6" s="53"/>
      <c r="L6" s="52" t="s">
        <v>2</v>
      </c>
      <c r="M6" s="53"/>
      <c r="N6" s="47" t="s">
        <v>3</v>
      </c>
      <c r="O6" s="5" t="s">
        <v>18</v>
      </c>
      <c r="P6" s="47" t="s">
        <v>3</v>
      </c>
      <c r="Q6" s="5" t="s">
        <v>18</v>
      </c>
      <c r="R6" s="47" t="s">
        <v>3</v>
      </c>
      <c r="S6" s="5" t="s">
        <v>18</v>
      </c>
      <c r="T6" s="48" t="s">
        <v>3</v>
      </c>
      <c r="U6" s="20" t="s">
        <v>18</v>
      </c>
      <c r="V6" s="16"/>
      <c r="W6" s="45"/>
      <c r="X6" s="45"/>
    </row>
    <row r="7" spans="1:24" ht="51.75" customHeight="1" x14ac:dyDescent="0.3">
      <c r="A7" s="56"/>
      <c r="B7" s="1" t="s">
        <v>3</v>
      </c>
      <c r="C7" s="2" t="s">
        <v>4</v>
      </c>
      <c r="D7" s="1" t="s">
        <v>3</v>
      </c>
      <c r="E7" s="2" t="s">
        <v>4</v>
      </c>
      <c r="F7" s="1" t="s">
        <v>3</v>
      </c>
      <c r="G7" s="2" t="s">
        <v>4</v>
      </c>
      <c r="H7" s="1" t="s">
        <v>3</v>
      </c>
      <c r="I7" s="2" t="s">
        <v>4</v>
      </c>
      <c r="J7" s="1" t="s">
        <v>3</v>
      </c>
      <c r="K7" s="2" t="s">
        <v>4</v>
      </c>
      <c r="L7" s="1" t="s">
        <v>3</v>
      </c>
      <c r="M7" s="2" t="s">
        <v>4</v>
      </c>
      <c r="N7" s="47"/>
      <c r="O7" s="12" t="s">
        <v>62</v>
      </c>
      <c r="P7" s="47"/>
      <c r="Q7" s="12" t="s">
        <v>62</v>
      </c>
      <c r="R7" s="47"/>
      <c r="S7" s="12" t="s">
        <v>62</v>
      </c>
      <c r="T7" s="47"/>
      <c r="U7" s="12" t="s">
        <v>62</v>
      </c>
      <c r="V7" s="16"/>
      <c r="W7" s="13">
        <v>45901</v>
      </c>
      <c r="X7" s="14">
        <v>45901</v>
      </c>
    </row>
    <row r="8" spans="1:24" x14ac:dyDescent="0.3">
      <c r="A8" s="3">
        <v>1</v>
      </c>
      <c r="B8" s="3">
        <v>2</v>
      </c>
      <c r="C8" s="3">
        <v>3</v>
      </c>
      <c r="D8" s="3">
        <v>4</v>
      </c>
      <c r="E8" s="3">
        <v>5</v>
      </c>
      <c r="F8" s="3">
        <v>6</v>
      </c>
      <c r="G8" s="3">
        <v>7</v>
      </c>
      <c r="H8" s="3">
        <v>4</v>
      </c>
      <c r="I8" s="3">
        <v>5</v>
      </c>
      <c r="J8" s="3">
        <v>6</v>
      </c>
      <c r="K8" s="3">
        <v>7</v>
      </c>
      <c r="L8" s="3">
        <v>10</v>
      </c>
      <c r="M8" s="3">
        <v>11</v>
      </c>
      <c r="N8" s="3">
        <v>12</v>
      </c>
      <c r="O8" s="3">
        <v>13</v>
      </c>
      <c r="P8" s="3">
        <v>14</v>
      </c>
      <c r="Q8" s="3">
        <v>15</v>
      </c>
      <c r="R8" s="3">
        <v>16</v>
      </c>
      <c r="S8" s="3">
        <v>17</v>
      </c>
      <c r="T8" s="3">
        <v>18</v>
      </c>
      <c r="U8" s="3">
        <v>19</v>
      </c>
      <c r="V8" s="15"/>
      <c r="W8" s="3">
        <v>20</v>
      </c>
      <c r="X8" s="3">
        <v>21</v>
      </c>
    </row>
    <row r="9" spans="1:24" ht="33" customHeight="1" x14ac:dyDescent="0.3">
      <c r="A9" s="4" t="s">
        <v>13</v>
      </c>
      <c r="B9" s="12">
        <v>1717052</v>
      </c>
      <c r="C9" s="12">
        <v>1489109</v>
      </c>
      <c r="D9" s="5">
        <v>1731075</v>
      </c>
      <c r="E9" s="5">
        <v>1483182</v>
      </c>
      <c r="F9" s="7">
        <f>D9/B9*100-100</f>
        <v>0.81669046714951321</v>
      </c>
      <c r="G9" s="7">
        <f>E9/C9*100-100</f>
        <v>-0.39802324745870976</v>
      </c>
      <c r="H9" s="5">
        <f>N9+P9+R9+T9</f>
        <v>1873368</v>
      </c>
      <c r="I9" s="6">
        <f>O9+Q9+S9+U9</f>
        <v>1622877</v>
      </c>
      <c r="J9" s="7">
        <f>H9/B9*100-100</f>
        <v>9.1037429268304066</v>
      </c>
      <c r="K9" s="7">
        <f>I9/C9*100-100</f>
        <v>8.9830898879800003</v>
      </c>
      <c r="L9" s="7">
        <f>H9/D9*100-100</f>
        <v>8.2199211472639746</v>
      </c>
      <c r="M9" s="7">
        <f>I9/E9*100-100</f>
        <v>9.4186013584307346</v>
      </c>
      <c r="N9" s="5">
        <v>9531</v>
      </c>
      <c r="O9" s="5">
        <v>2424</v>
      </c>
      <c r="P9" s="5">
        <v>663250</v>
      </c>
      <c r="Q9" s="5">
        <v>635312</v>
      </c>
      <c r="R9" s="5">
        <f>200+132560</f>
        <v>132760</v>
      </c>
      <c r="S9" s="5"/>
      <c r="T9" s="5">
        <v>1067827</v>
      </c>
      <c r="U9" s="5">
        <v>985141</v>
      </c>
      <c r="V9" s="17"/>
      <c r="W9" s="5">
        <v>191</v>
      </c>
      <c r="X9" s="5">
        <v>12</v>
      </c>
    </row>
    <row r="10" spans="1:24" ht="33" customHeight="1" x14ac:dyDescent="0.3">
      <c r="A10" s="4" t="s">
        <v>11</v>
      </c>
      <c r="B10" s="12">
        <v>1759685</v>
      </c>
      <c r="C10" s="12">
        <v>1536357</v>
      </c>
      <c r="D10" s="5">
        <v>1784603</v>
      </c>
      <c r="E10" s="5">
        <v>1456320</v>
      </c>
      <c r="F10" s="7">
        <f t="shared" ref="F10:F35" si="0">D10/B10*100-100</f>
        <v>1.4160488951147556</v>
      </c>
      <c r="G10" s="7">
        <f t="shared" ref="G10:G35" si="1">E10/C10*100-100</f>
        <v>-5.2095313784491566</v>
      </c>
      <c r="H10" s="5">
        <f t="shared" ref="H10:H20" si="2">N10+P10+R10+T10</f>
        <v>1996521</v>
      </c>
      <c r="I10" s="6">
        <f t="shared" ref="I10:I20" si="3">O10+Q10+S10+U10</f>
        <v>1735132</v>
      </c>
      <c r="J10" s="7">
        <f t="shared" ref="J10:J21" si="4">H10/B10*100-100</f>
        <v>13.458999764162343</v>
      </c>
      <c r="K10" s="7">
        <f t="shared" ref="K10:K21" si="5">I10/C10*100-100</f>
        <v>12.938073637832886</v>
      </c>
      <c r="L10" s="7">
        <f t="shared" ref="L10:L15" si="6">H10/D10*100-100</f>
        <v>11.87479792424422</v>
      </c>
      <c r="M10" s="7">
        <f t="shared" ref="M10:M15" si="7">I10/E10*100-100</f>
        <v>19.144968138870581</v>
      </c>
      <c r="N10" s="5">
        <f>9531+21000</f>
        <v>30531</v>
      </c>
      <c r="O10" s="5">
        <v>6109</v>
      </c>
      <c r="P10" s="5">
        <f>699224+121114</f>
        <v>820338</v>
      </c>
      <c r="Q10" s="5">
        <f>680000+118694</f>
        <v>798694</v>
      </c>
      <c r="R10" s="5">
        <f>1300+127530</f>
        <v>128830</v>
      </c>
      <c r="S10" s="5"/>
      <c r="T10" s="5">
        <v>1016822</v>
      </c>
      <c r="U10" s="5">
        <v>930329</v>
      </c>
      <c r="V10" s="17"/>
      <c r="W10" s="5">
        <v>198</v>
      </c>
      <c r="X10" s="5">
        <v>12</v>
      </c>
    </row>
    <row r="11" spans="1:24" ht="33" customHeight="1" x14ac:dyDescent="0.3">
      <c r="A11" s="4" t="s">
        <v>12</v>
      </c>
      <c r="B11" s="12">
        <v>1027394</v>
      </c>
      <c r="C11" s="12">
        <v>881722</v>
      </c>
      <c r="D11" s="5">
        <v>1059678</v>
      </c>
      <c r="E11" s="5">
        <v>893387</v>
      </c>
      <c r="F11" s="7">
        <f t="shared" si="0"/>
        <v>3.1423193049599121</v>
      </c>
      <c r="G11" s="7">
        <f t="shared" si="1"/>
        <v>1.3229793517684669</v>
      </c>
      <c r="H11" s="5">
        <f t="shared" si="2"/>
        <v>971291</v>
      </c>
      <c r="I11" s="6">
        <f t="shared" si="3"/>
        <v>816455</v>
      </c>
      <c r="J11" s="7">
        <f t="shared" si="4"/>
        <v>-5.4607093286509354</v>
      </c>
      <c r="K11" s="7">
        <f t="shared" si="5"/>
        <v>-7.4022197472672815</v>
      </c>
      <c r="L11" s="7">
        <f t="shared" si="6"/>
        <v>-8.3409299806167496</v>
      </c>
      <c r="M11" s="7">
        <f t="shared" si="7"/>
        <v>-8.6112737257202099</v>
      </c>
      <c r="N11" s="5">
        <v>9531</v>
      </c>
      <c r="O11" s="5">
        <v>6109</v>
      </c>
      <c r="P11" s="5">
        <f>310504+50756</f>
        <v>361260</v>
      </c>
      <c r="Q11" s="5">
        <f>302139+49342</f>
        <v>351481</v>
      </c>
      <c r="R11" s="5">
        <f>2670+58330</f>
        <v>61000</v>
      </c>
      <c r="S11" s="5"/>
      <c r="T11" s="5">
        <v>539500</v>
      </c>
      <c r="U11" s="5">
        <v>458865</v>
      </c>
      <c r="V11" s="17"/>
      <c r="W11" s="5">
        <v>90</v>
      </c>
      <c r="X11" s="5">
        <v>7</v>
      </c>
    </row>
    <row r="12" spans="1:24" ht="33" customHeight="1" x14ac:dyDescent="0.3">
      <c r="A12" s="4" t="s">
        <v>10</v>
      </c>
      <c r="B12" s="12">
        <v>1142966</v>
      </c>
      <c r="C12" s="12">
        <v>1000358</v>
      </c>
      <c r="D12" s="5">
        <v>1176011</v>
      </c>
      <c r="E12" s="5">
        <v>970573</v>
      </c>
      <c r="F12" s="7">
        <f t="shared" si="0"/>
        <v>2.8911621168083741</v>
      </c>
      <c r="G12" s="7">
        <f t="shared" si="1"/>
        <v>-2.9774340785998561</v>
      </c>
      <c r="H12" s="5">
        <f t="shared" si="2"/>
        <v>1317164</v>
      </c>
      <c r="I12" s="6">
        <f t="shared" si="3"/>
        <v>1170616</v>
      </c>
      <c r="J12" s="7">
        <f t="shared" si="4"/>
        <v>15.24087330681752</v>
      </c>
      <c r="K12" s="7">
        <f t="shared" si="5"/>
        <v>17.019706944913722</v>
      </c>
      <c r="L12" s="7">
        <f t="shared" si="6"/>
        <v>12.002693852353417</v>
      </c>
      <c r="M12" s="7">
        <f t="shared" si="7"/>
        <v>20.61081443642054</v>
      </c>
      <c r="N12" s="5">
        <v>14297</v>
      </c>
      <c r="O12" s="5">
        <v>9128</v>
      </c>
      <c r="P12" s="5">
        <f>128400+703860</f>
        <v>832260</v>
      </c>
      <c r="Q12" s="5">
        <f>125093+687181</f>
        <v>812274</v>
      </c>
      <c r="R12" s="5">
        <f>3880+16370</f>
        <v>20250</v>
      </c>
      <c r="S12" s="5"/>
      <c r="T12" s="5">
        <v>450357</v>
      </c>
      <c r="U12" s="5">
        <v>349214</v>
      </c>
      <c r="V12" s="17"/>
      <c r="W12" s="5">
        <v>126</v>
      </c>
      <c r="X12" s="5">
        <v>12</v>
      </c>
    </row>
    <row r="13" spans="1:24" ht="33" customHeight="1" x14ac:dyDescent="0.3">
      <c r="A13" s="4" t="s">
        <v>9</v>
      </c>
      <c r="B13" s="12">
        <v>1514834</v>
      </c>
      <c r="C13" s="12">
        <v>1343822</v>
      </c>
      <c r="D13" s="5">
        <v>1570689</v>
      </c>
      <c r="E13" s="5">
        <v>1331804</v>
      </c>
      <c r="F13" s="7">
        <f t="shared" si="0"/>
        <v>3.6872026901957611</v>
      </c>
      <c r="G13" s="7">
        <f t="shared" si="1"/>
        <v>-0.894314872058942</v>
      </c>
      <c r="H13" s="5">
        <f t="shared" si="2"/>
        <v>1714271</v>
      </c>
      <c r="I13" s="6">
        <f t="shared" si="3"/>
        <v>1525040</v>
      </c>
      <c r="J13" s="7">
        <f t="shared" si="4"/>
        <v>13.165600983342074</v>
      </c>
      <c r="K13" s="7">
        <f t="shared" si="5"/>
        <v>13.485268138190932</v>
      </c>
      <c r="L13" s="7">
        <f t="shared" si="6"/>
        <v>9.1413386099985559</v>
      </c>
      <c r="M13" s="7">
        <f t="shared" si="7"/>
        <v>14.509342215521201</v>
      </c>
      <c r="N13" s="5">
        <v>23828</v>
      </c>
      <c r="O13" s="5">
        <v>8900</v>
      </c>
      <c r="P13" s="5">
        <f>184338+889234</f>
        <v>1073572</v>
      </c>
      <c r="Q13" s="5">
        <f>179299+865079</f>
        <v>1044378</v>
      </c>
      <c r="R13" s="5">
        <f>6990+25900</f>
        <v>32890</v>
      </c>
      <c r="S13" s="5"/>
      <c r="T13" s="5">
        <v>583981</v>
      </c>
      <c r="U13" s="5">
        <v>471762</v>
      </c>
      <c r="V13" s="17"/>
      <c r="W13" s="5">
        <v>215</v>
      </c>
      <c r="X13" s="5">
        <v>14</v>
      </c>
    </row>
    <row r="14" spans="1:24" ht="33" customHeight="1" x14ac:dyDescent="0.3">
      <c r="A14" s="4" t="s">
        <v>5</v>
      </c>
      <c r="B14" s="12">
        <v>1585464</v>
      </c>
      <c r="C14" s="12">
        <v>1410638</v>
      </c>
      <c r="D14" s="5">
        <v>1649636</v>
      </c>
      <c r="E14" s="5">
        <v>1365031</v>
      </c>
      <c r="F14" s="7">
        <f t="shared" si="0"/>
        <v>4.0475217349621175</v>
      </c>
      <c r="G14" s="7">
        <f t="shared" si="1"/>
        <v>-3.2330760974821402</v>
      </c>
      <c r="H14" s="5">
        <f t="shared" si="2"/>
        <v>1713605</v>
      </c>
      <c r="I14" s="6">
        <f t="shared" si="3"/>
        <v>1533324</v>
      </c>
      <c r="J14" s="7">
        <f t="shared" si="4"/>
        <v>8.0822396471947684</v>
      </c>
      <c r="K14" s="7">
        <f t="shared" si="5"/>
        <v>8.6971994232396952</v>
      </c>
      <c r="L14" s="7">
        <f t="shared" si="6"/>
        <v>3.8777645492702675</v>
      </c>
      <c r="M14" s="7">
        <f t="shared" si="7"/>
        <v>12.328877512671866</v>
      </c>
      <c r="N14" s="5">
        <v>19062</v>
      </c>
      <c r="O14" s="5">
        <v>11397</v>
      </c>
      <c r="P14" s="5">
        <f>153568+933215</f>
        <v>1086783</v>
      </c>
      <c r="Q14" s="5">
        <f>149410+907742</f>
        <v>1057152</v>
      </c>
      <c r="R14" s="5">
        <f>3800+23360</f>
        <v>27160</v>
      </c>
      <c r="S14" s="5"/>
      <c r="T14" s="5">
        <v>580600</v>
      </c>
      <c r="U14" s="5">
        <v>464775</v>
      </c>
      <c r="V14" s="17"/>
      <c r="W14" s="5">
        <v>216</v>
      </c>
      <c r="X14" s="5">
        <v>15</v>
      </c>
    </row>
    <row r="15" spans="1:24" ht="33" customHeight="1" x14ac:dyDescent="0.3">
      <c r="A15" s="8" t="s">
        <v>6</v>
      </c>
      <c r="B15" s="12">
        <v>2522047</v>
      </c>
      <c r="C15" s="12">
        <v>2133003</v>
      </c>
      <c r="D15" s="5">
        <v>2603219</v>
      </c>
      <c r="E15" s="5">
        <v>2064583</v>
      </c>
      <c r="F15" s="7">
        <f t="shared" si="0"/>
        <v>3.2184967211158266</v>
      </c>
      <c r="G15" s="7">
        <f t="shared" si="1"/>
        <v>-3.2076841898487629</v>
      </c>
      <c r="H15" s="5">
        <f t="shared" si="2"/>
        <v>2709971</v>
      </c>
      <c r="I15" s="6">
        <f t="shared" si="3"/>
        <v>2339473</v>
      </c>
      <c r="J15" s="7">
        <f t="shared" si="4"/>
        <v>7.4512489259716403</v>
      </c>
      <c r="K15" s="7">
        <f t="shared" si="5"/>
        <v>9.6797801034503834</v>
      </c>
      <c r="L15" s="7">
        <f t="shared" si="6"/>
        <v>4.1007690862735728</v>
      </c>
      <c r="M15" s="7">
        <f t="shared" si="7"/>
        <v>13.31455310830323</v>
      </c>
      <c r="N15" s="5">
        <v>4766</v>
      </c>
      <c r="O15" s="5">
        <v>960</v>
      </c>
      <c r="P15" s="5">
        <f>293720+1099586</f>
        <v>1393306</v>
      </c>
      <c r="Q15" s="5">
        <f>286282+1069253</f>
        <v>1355535</v>
      </c>
      <c r="R15" s="5">
        <f>860+19230+40260</f>
        <v>60350</v>
      </c>
      <c r="S15" s="5"/>
      <c r="T15" s="5">
        <v>1251549</v>
      </c>
      <c r="U15" s="5">
        <v>982978</v>
      </c>
      <c r="V15" s="17"/>
      <c r="W15" s="5">
        <v>278</v>
      </c>
      <c r="X15" s="5">
        <v>21</v>
      </c>
    </row>
    <row r="16" spans="1:24" ht="30.75" customHeight="1" x14ac:dyDescent="0.3">
      <c r="A16" s="4" t="s">
        <v>8</v>
      </c>
      <c r="B16" s="12">
        <v>3381971</v>
      </c>
      <c r="C16" s="12">
        <v>2932957</v>
      </c>
      <c r="D16" s="5">
        <v>3511237</v>
      </c>
      <c r="E16" s="5">
        <v>2789660</v>
      </c>
      <c r="F16" s="7">
        <f t="shared" si="0"/>
        <v>3.8222090017921602</v>
      </c>
      <c r="G16" s="7">
        <f t="shared" si="1"/>
        <v>-4.8857518197505101</v>
      </c>
      <c r="H16" s="5">
        <f t="shared" si="2"/>
        <v>3549126</v>
      </c>
      <c r="I16" s="6">
        <f t="shared" si="3"/>
        <v>3117157</v>
      </c>
      <c r="J16" s="7">
        <f t="shared" si="4"/>
        <v>4.9425320323562829</v>
      </c>
      <c r="K16" s="7">
        <f t="shared" si="5"/>
        <v>6.2803511950567241</v>
      </c>
      <c r="L16" s="7">
        <f t="shared" ref="L16:M21" si="8">H16/D16*100-100</f>
        <v>1.0790783988662724</v>
      </c>
      <c r="M16" s="7">
        <f t="shared" si="8"/>
        <v>11.739674368919523</v>
      </c>
      <c r="N16" s="5">
        <v>19062</v>
      </c>
      <c r="O16" s="5">
        <v>12218</v>
      </c>
      <c r="P16" s="5">
        <f>174681+2080004</f>
        <v>2254685</v>
      </c>
      <c r="Q16" s="5">
        <f>170221+2019868</f>
        <v>2190089</v>
      </c>
      <c r="R16" s="5">
        <f>4450+26000+22470</f>
        <v>52920</v>
      </c>
      <c r="S16" s="5"/>
      <c r="T16" s="5">
        <v>1222459</v>
      </c>
      <c r="U16" s="5">
        <v>914850</v>
      </c>
      <c r="V16" s="17"/>
      <c r="W16" s="5">
        <v>481</v>
      </c>
      <c r="X16" s="5">
        <v>30</v>
      </c>
    </row>
    <row r="17" spans="1:26" ht="33" customHeight="1" x14ac:dyDescent="0.3">
      <c r="A17" s="4" t="s">
        <v>7</v>
      </c>
      <c r="B17" s="12">
        <v>2632382</v>
      </c>
      <c r="C17" s="12">
        <v>2406443</v>
      </c>
      <c r="D17" s="5">
        <v>2765574</v>
      </c>
      <c r="E17" s="5">
        <v>2435920</v>
      </c>
      <c r="F17" s="7">
        <f t="shared" si="0"/>
        <v>5.0597519660900332</v>
      </c>
      <c r="G17" s="7">
        <f t="shared" si="1"/>
        <v>1.2249199336946646</v>
      </c>
      <c r="H17" s="5">
        <f t="shared" si="2"/>
        <v>3143191</v>
      </c>
      <c r="I17" s="6">
        <f t="shared" si="3"/>
        <v>2856557</v>
      </c>
      <c r="J17" s="7">
        <f t="shared" si="4"/>
        <v>19.404820424999116</v>
      </c>
      <c r="K17" s="7">
        <f t="shared" si="5"/>
        <v>18.704536114090374</v>
      </c>
      <c r="L17" s="7">
        <f t="shared" si="8"/>
        <v>13.654199815300544</v>
      </c>
      <c r="M17" s="7">
        <f t="shared" si="8"/>
        <v>17.268095832375451</v>
      </c>
      <c r="N17" s="5"/>
      <c r="O17" s="5"/>
      <c r="P17" s="5">
        <v>2352596</v>
      </c>
      <c r="Q17" s="5">
        <v>2271602</v>
      </c>
      <c r="R17" s="5">
        <f>5200+53630</f>
        <v>58830</v>
      </c>
      <c r="S17" s="5"/>
      <c r="T17" s="5">
        <v>731765</v>
      </c>
      <c r="U17" s="5">
        <v>584955</v>
      </c>
      <c r="V17" s="17"/>
      <c r="W17" s="5">
        <v>687</v>
      </c>
      <c r="X17" s="5">
        <v>30</v>
      </c>
    </row>
    <row r="18" spans="1:26" ht="33" customHeight="1" x14ac:dyDescent="0.3">
      <c r="A18" s="4" t="s">
        <v>24</v>
      </c>
      <c r="B18" s="12">
        <v>2213861</v>
      </c>
      <c r="C18" s="12">
        <v>2031939</v>
      </c>
      <c r="D18" s="5">
        <v>2422325</v>
      </c>
      <c r="E18" s="5">
        <v>2046464</v>
      </c>
      <c r="F18" s="7">
        <f t="shared" si="0"/>
        <v>9.4163093346872273</v>
      </c>
      <c r="G18" s="7">
        <f t="shared" si="1"/>
        <v>0.71483445123105582</v>
      </c>
      <c r="H18" s="5">
        <f t="shared" si="2"/>
        <v>2485804</v>
      </c>
      <c r="I18" s="6">
        <f t="shared" si="3"/>
        <v>2266900</v>
      </c>
      <c r="J18" s="7">
        <f t="shared" si="4"/>
        <v>12.283652858061103</v>
      </c>
      <c r="K18" s="7">
        <f t="shared" si="5"/>
        <v>11.563388467862467</v>
      </c>
      <c r="L18" s="7">
        <f t="shared" si="8"/>
        <v>2.6205814661533822</v>
      </c>
      <c r="M18" s="7">
        <f t="shared" si="8"/>
        <v>10.771555228921684</v>
      </c>
      <c r="N18" s="5"/>
      <c r="O18" s="5"/>
      <c r="P18" s="5">
        <v>1851732</v>
      </c>
      <c r="Q18" s="5">
        <v>1791894</v>
      </c>
      <c r="R18" s="5">
        <f>4320+27780</f>
        <v>32100</v>
      </c>
      <c r="S18" s="5"/>
      <c r="T18" s="5">
        <v>601972</v>
      </c>
      <c r="U18" s="5">
        <v>475006</v>
      </c>
      <c r="V18" s="17"/>
      <c r="W18" s="5">
        <v>484</v>
      </c>
      <c r="X18" s="5">
        <v>18</v>
      </c>
    </row>
    <row r="19" spans="1:26" ht="30.75" customHeight="1" x14ac:dyDescent="0.3">
      <c r="A19" s="4" t="s">
        <v>15</v>
      </c>
      <c r="B19" s="12">
        <v>438616</v>
      </c>
      <c r="C19" s="12">
        <v>368002</v>
      </c>
      <c r="D19" s="5">
        <v>562182</v>
      </c>
      <c r="E19" s="5">
        <v>404240</v>
      </c>
      <c r="F19" s="7">
        <f t="shared" si="0"/>
        <v>28.171794918562028</v>
      </c>
      <c r="G19" s="7">
        <f t="shared" si="1"/>
        <v>9.8472290911462323</v>
      </c>
      <c r="H19" s="5">
        <f t="shared" si="2"/>
        <v>520768</v>
      </c>
      <c r="I19" s="6">
        <f t="shared" si="3"/>
        <v>420505</v>
      </c>
      <c r="J19" s="7">
        <f t="shared" si="4"/>
        <v>18.729822897477504</v>
      </c>
      <c r="K19" s="7">
        <f t="shared" si="5"/>
        <v>14.267042026945504</v>
      </c>
      <c r="L19" s="7">
        <f t="shared" si="8"/>
        <v>-7.3666535036696246</v>
      </c>
      <c r="M19" s="7">
        <f t="shared" si="8"/>
        <v>4.0235998416782195</v>
      </c>
      <c r="N19" s="5">
        <v>65872</v>
      </c>
      <c r="O19" s="5">
        <v>64931</v>
      </c>
      <c r="P19" s="5">
        <v>134923</v>
      </c>
      <c r="Q19" s="5">
        <v>132995</v>
      </c>
      <c r="R19" s="5">
        <f>7940+26050</f>
        <v>33990</v>
      </c>
      <c r="S19" s="5">
        <v>1385</v>
      </c>
      <c r="T19" s="5">
        <v>285983</v>
      </c>
      <c r="U19" s="5">
        <v>221194</v>
      </c>
      <c r="V19" s="17"/>
      <c r="W19" s="5"/>
      <c r="X19" s="5"/>
    </row>
    <row r="20" spans="1:26" ht="30.75" customHeight="1" x14ac:dyDescent="0.3">
      <c r="A20" s="8" t="s">
        <v>14</v>
      </c>
      <c r="B20" s="12">
        <v>924723</v>
      </c>
      <c r="C20" s="12">
        <v>858070</v>
      </c>
      <c r="D20" s="5">
        <v>924378</v>
      </c>
      <c r="E20" s="5">
        <v>819902</v>
      </c>
      <c r="F20" s="22">
        <f t="shared" si="0"/>
        <v>-3.7308469671458511E-2</v>
      </c>
      <c r="G20" s="7">
        <f t="shared" si="1"/>
        <v>-4.4481219480928047</v>
      </c>
      <c r="H20" s="5">
        <f t="shared" si="2"/>
        <v>1018597</v>
      </c>
      <c r="I20" s="6">
        <f t="shared" si="3"/>
        <v>946579</v>
      </c>
      <c r="J20" s="7">
        <f>H20/B20*100-100</f>
        <v>10.151580527357922</v>
      </c>
      <c r="K20" s="7">
        <f>I20/C20*100-100</f>
        <v>10.314892724369813</v>
      </c>
      <c r="L20" s="7">
        <f t="shared" si="8"/>
        <v>10.192691734333792</v>
      </c>
      <c r="M20" s="7">
        <f t="shared" si="8"/>
        <v>15.450261128769043</v>
      </c>
      <c r="N20" s="5"/>
      <c r="O20" s="5"/>
      <c r="P20" s="5">
        <v>69760</v>
      </c>
      <c r="Q20" s="5">
        <v>68763</v>
      </c>
      <c r="R20" s="5">
        <f>1360+3000+67640</f>
        <v>72000</v>
      </c>
      <c r="S20" s="5">
        <v>23161</v>
      </c>
      <c r="T20" s="5">
        <v>876837</v>
      </c>
      <c r="U20" s="5">
        <v>854655</v>
      </c>
      <c r="V20" s="17"/>
      <c r="W20" s="5"/>
      <c r="X20" s="5"/>
      <c r="Z20" s="44"/>
    </row>
    <row r="21" spans="1:26" ht="31.2" x14ac:dyDescent="0.3">
      <c r="A21" s="9" t="s">
        <v>16</v>
      </c>
      <c r="B21" s="23">
        <f>SUM(B9:B20)</f>
        <v>20860995</v>
      </c>
      <c r="C21" s="23">
        <f>SUM(C9:C20)</f>
        <v>18392420</v>
      </c>
      <c r="D21" s="10">
        <f>SUM(D9:D20)</f>
        <v>21760607</v>
      </c>
      <c r="E21" s="10">
        <f>SUM(E9:E20)</f>
        <v>18061066</v>
      </c>
      <c r="F21" s="11">
        <f t="shared" si="0"/>
        <v>4.3124117521719398</v>
      </c>
      <c r="G21" s="11">
        <f t="shared" si="1"/>
        <v>-1.8015791287932785</v>
      </c>
      <c r="H21" s="10">
        <f>SUM(H9:H20)</f>
        <v>23013677</v>
      </c>
      <c r="I21" s="10">
        <f>SUM(I9:I20)</f>
        <v>20350615</v>
      </c>
      <c r="J21" s="11">
        <f t="shared" si="4"/>
        <v>10.319172215898618</v>
      </c>
      <c r="K21" s="11">
        <f t="shared" si="5"/>
        <v>10.64675012858558</v>
      </c>
      <c r="L21" s="11">
        <f t="shared" si="8"/>
        <v>5.7584331172379564</v>
      </c>
      <c r="M21" s="11">
        <f t="shared" si="8"/>
        <v>12.67671022297354</v>
      </c>
      <c r="N21" s="10">
        <f t="shared" ref="N21:U21" si="9">SUM(N9:N20)</f>
        <v>196480</v>
      </c>
      <c r="O21" s="10">
        <f t="shared" si="9"/>
        <v>122176</v>
      </c>
      <c r="P21" s="10">
        <f t="shared" si="9"/>
        <v>12894465</v>
      </c>
      <c r="Q21" s="10">
        <f t="shared" si="9"/>
        <v>12510169</v>
      </c>
      <c r="R21" s="10">
        <f t="shared" si="9"/>
        <v>713080</v>
      </c>
      <c r="S21" s="10">
        <f t="shared" si="9"/>
        <v>24546</v>
      </c>
      <c r="T21" s="10">
        <f t="shared" si="9"/>
        <v>9209652</v>
      </c>
      <c r="U21" s="10">
        <f t="shared" si="9"/>
        <v>7693724</v>
      </c>
      <c r="V21" s="18"/>
      <c r="W21" s="10">
        <f>SUM(W9:W20)</f>
        <v>2966</v>
      </c>
      <c r="X21" s="10">
        <f>SUM(X9:X20)</f>
        <v>171</v>
      </c>
    </row>
    <row r="22" spans="1:26" s="32" customFormat="1" x14ac:dyDescent="0.3">
      <c r="A22" s="33"/>
      <c r="B22" s="34"/>
      <c r="C22" s="34"/>
      <c r="D22" s="31"/>
      <c r="E22" s="31"/>
      <c r="F22" s="29"/>
      <c r="G22" s="29"/>
      <c r="H22" s="31"/>
      <c r="I22" s="31"/>
      <c r="J22" s="29"/>
      <c r="K22" s="29"/>
      <c r="L22" s="29"/>
      <c r="M22" s="29"/>
      <c r="N22" s="31"/>
      <c r="O22" s="31"/>
      <c r="P22" s="31"/>
      <c r="Q22" s="31"/>
      <c r="R22" s="31"/>
      <c r="S22" s="31"/>
      <c r="T22" s="31"/>
      <c r="U22" s="31"/>
      <c r="V22" s="18"/>
      <c r="W22" s="31"/>
      <c r="X22" s="31"/>
    </row>
    <row r="23" spans="1:26" ht="24" customHeight="1" x14ac:dyDescent="0.3">
      <c r="A23" s="30" t="s">
        <v>35</v>
      </c>
      <c r="B23" s="36">
        <v>697447</v>
      </c>
      <c r="C23" s="36">
        <v>566428</v>
      </c>
      <c r="D23" s="36">
        <v>626438</v>
      </c>
      <c r="E23" s="36">
        <v>497045</v>
      </c>
      <c r="F23" s="38">
        <f>D23/B23*100-100</f>
        <v>-10.181275423078745</v>
      </c>
      <c r="G23" s="38">
        <f>E23/C23*100-100</f>
        <v>-12.249217905894483</v>
      </c>
      <c r="H23" s="12">
        <f>N23+P23+R23+T23</f>
        <v>804740</v>
      </c>
      <c r="I23" s="12">
        <f>O23+Q23+S23+U23</f>
        <v>649480</v>
      </c>
      <c r="J23" s="7">
        <f t="shared" ref="J23:J35" si="10">H23/B23*100-100</f>
        <v>15.383677899539322</v>
      </c>
      <c r="K23" s="7">
        <f t="shared" ref="K23:K35" si="11">I23/C23*100-100</f>
        <v>14.662410756530406</v>
      </c>
      <c r="L23" s="38">
        <f t="shared" ref="L23:L31" si="12">H23/D23*100-100</f>
        <v>28.462832714490503</v>
      </c>
      <c r="M23" s="38">
        <f t="shared" ref="M23:M31" si="13">I23/E23*100-100</f>
        <v>30.668249353680238</v>
      </c>
      <c r="N23" s="12">
        <v>8888</v>
      </c>
      <c r="O23" s="12">
        <v>8761</v>
      </c>
      <c r="P23" s="12"/>
      <c r="Q23" s="12"/>
      <c r="R23" s="12">
        <v>359703</v>
      </c>
      <c r="S23" s="12">
        <v>240375</v>
      </c>
      <c r="T23" s="12">
        <v>436149</v>
      </c>
      <c r="U23" s="12">
        <v>400344</v>
      </c>
    </row>
    <row r="24" spans="1:26" ht="34.5" customHeight="1" x14ac:dyDescent="0.3">
      <c r="A24" s="19" t="s">
        <v>37</v>
      </c>
      <c r="B24" s="36">
        <v>308300</v>
      </c>
      <c r="C24" s="36">
        <v>220262</v>
      </c>
      <c r="D24" s="36">
        <v>324137</v>
      </c>
      <c r="E24" s="36">
        <v>233040</v>
      </c>
      <c r="F24" s="38">
        <f>D24/B24*100-100</f>
        <v>5.1368796626662316</v>
      </c>
      <c r="G24" s="38">
        <f>E24/C24*100-100</f>
        <v>5.801273029392263</v>
      </c>
      <c r="H24" s="12">
        <f t="shared" ref="H24:H34" si="14">N24+P24+R24+T24</f>
        <v>336730</v>
      </c>
      <c r="I24" s="12">
        <f t="shared" ref="I24:I34" si="15">O24+Q24+S24+U24</f>
        <v>270567</v>
      </c>
      <c r="J24" s="7">
        <f t="shared" si="10"/>
        <v>9.221537463509577</v>
      </c>
      <c r="K24" s="7">
        <f t="shared" si="11"/>
        <v>22.83871026323196</v>
      </c>
      <c r="L24" s="38">
        <f t="shared" si="12"/>
        <v>3.8850856273736127</v>
      </c>
      <c r="M24" s="38">
        <f t="shared" si="13"/>
        <v>16.103244078269825</v>
      </c>
      <c r="N24" s="12">
        <v>274710</v>
      </c>
      <c r="O24" s="12">
        <v>216630</v>
      </c>
      <c r="P24" s="12"/>
      <c r="Q24" s="12"/>
      <c r="R24" s="12">
        <v>4500</v>
      </c>
      <c r="S24" s="12"/>
      <c r="T24" s="12">
        <v>57520</v>
      </c>
      <c r="U24" s="12">
        <v>53937</v>
      </c>
    </row>
    <row r="25" spans="1:26" ht="24" customHeight="1" x14ac:dyDescent="0.3">
      <c r="A25" s="25" t="s">
        <v>26</v>
      </c>
      <c r="B25" s="36">
        <v>1099500</v>
      </c>
      <c r="C25" s="36">
        <v>885170</v>
      </c>
      <c r="D25" s="36">
        <v>1185437</v>
      </c>
      <c r="E25" s="36">
        <v>893359</v>
      </c>
      <c r="F25" s="38">
        <f t="shared" si="0"/>
        <v>7.8160072760345543</v>
      </c>
      <c r="G25" s="38">
        <f t="shared" si="1"/>
        <v>0.92513302529457064</v>
      </c>
      <c r="H25" s="12">
        <f t="shared" si="14"/>
        <v>1199530</v>
      </c>
      <c r="I25" s="12">
        <f t="shared" si="15"/>
        <v>934480</v>
      </c>
      <c r="J25" s="7">
        <f t="shared" si="10"/>
        <v>9.0977717144156429</v>
      </c>
      <c r="K25" s="7">
        <f t="shared" si="11"/>
        <v>5.5706813380480611</v>
      </c>
      <c r="L25" s="38">
        <f t="shared" si="12"/>
        <v>1.1888442827413144</v>
      </c>
      <c r="M25" s="38">
        <f t="shared" si="13"/>
        <v>4.6029647655645647</v>
      </c>
      <c r="N25" s="5"/>
      <c r="O25" s="5"/>
      <c r="P25" s="5"/>
      <c r="Q25" s="5"/>
      <c r="R25" s="5">
        <v>78000</v>
      </c>
      <c r="S25" s="5"/>
      <c r="T25" s="5">
        <v>1121530</v>
      </c>
      <c r="U25" s="5">
        <v>934480</v>
      </c>
    </row>
    <row r="26" spans="1:26" ht="23.25" customHeight="1" x14ac:dyDescent="0.3">
      <c r="A26" s="26" t="s">
        <v>27</v>
      </c>
      <c r="B26" s="36">
        <v>204740</v>
      </c>
      <c r="C26" s="36">
        <v>168540</v>
      </c>
      <c r="D26" s="36">
        <v>206159</v>
      </c>
      <c r="E26" s="36">
        <v>161910</v>
      </c>
      <c r="F26" s="38">
        <f t="shared" si="0"/>
        <v>0.69307414281527713</v>
      </c>
      <c r="G26" s="38">
        <f t="shared" si="1"/>
        <v>-3.9337842648629362</v>
      </c>
      <c r="H26" s="12">
        <f t="shared" si="14"/>
        <v>218290</v>
      </c>
      <c r="I26" s="12">
        <f t="shared" si="15"/>
        <v>179433</v>
      </c>
      <c r="J26" s="7">
        <f t="shared" si="10"/>
        <v>6.6181498485884589</v>
      </c>
      <c r="K26" s="7">
        <f t="shared" si="11"/>
        <v>6.4631541473834062</v>
      </c>
      <c r="L26" s="38">
        <f t="shared" si="12"/>
        <v>5.8842931911776901</v>
      </c>
      <c r="M26" s="38">
        <f t="shared" si="13"/>
        <v>10.822679266259044</v>
      </c>
      <c r="N26" s="5"/>
      <c r="O26" s="5"/>
      <c r="P26" s="5"/>
      <c r="Q26" s="5"/>
      <c r="R26" s="5">
        <v>2160</v>
      </c>
      <c r="S26" s="5"/>
      <c r="T26" s="5">
        <v>216130</v>
      </c>
      <c r="U26" s="5">
        <v>179433</v>
      </c>
    </row>
    <row r="27" spans="1:26" ht="25.5" customHeight="1" x14ac:dyDescent="0.3">
      <c r="A27" s="27" t="s">
        <v>28</v>
      </c>
      <c r="B27" s="37">
        <v>201900</v>
      </c>
      <c r="C27" s="37">
        <v>158480</v>
      </c>
      <c r="D27" s="37">
        <v>231317</v>
      </c>
      <c r="E27" s="37">
        <v>156072</v>
      </c>
      <c r="F27" s="38">
        <f t="shared" si="0"/>
        <v>14.57008420009906</v>
      </c>
      <c r="G27" s="38">
        <f t="shared" si="1"/>
        <v>-1.5194346289752758</v>
      </c>
      <c r="H27" s="12">
        <f t="shared" si="14"/>
        <v>233970</v>
      </c>
      <c r="I27" s="12">
        <f t="shared" si="15"/>
        <v>178974</v>
      </c>
      <c r="J27" s="7">
        <f t="shared" si="10"/>
        <v>15.884101040118878</v>
      </c>
      <c r="K27" s="7">
        <f t="shared" si="11"/>
        <v>12.931600201918215</v>
      </c>
      <c r="L27" s="38">
        <f t="shared" si="12"/>
        <v>1.1469109490439564</v>
      </c>
      <c r="M27" s="38">
        <f t="shared" si="13"/>
        <v>14.673996616946013</v>
      </c>
      <c r="N27" s="5"/>
      <c r="O27" s="5"/>
      <c r="P27" s="5"/>
      <c r="Q27" s="5"/>
      <c r="R27" s="5">
        <v>600</v>
      </c>
      <c r="S27" s="5"/>
      <c r="T27" s="5">
        <v>233370</v>
      </c>
      <c r="U27" s="5">
        <v>178974</v>
      </c>
    </row>
    <row r="28" spans="1:26" ht="33" customHeight="1" x14ac:dyDescent="0.3">
      <c r="A28" s="28" t="s">
        <v>29</v>
      </c>
      <c r="B28" s="37">
        <v>192300</v>
      </c>
      <c r="C28" s="37">
        <v>141020</v>
      </c>
      <c r="D28" s="37">
        <v>206916</v>
      </c>
      <c r="E28" s="37">
        <v>120229</v>
      </c>
      <c r="F28" s="38">
        <f t="shared" si="0"/>
        <v>7.6006240249610073</v>
      </c>
      <c r="G28" s="38">
        <f t="shared" si="1"/>
        <v>-14.743298822862002</v>
      </c>
      <c r="H28" s="12">
        <f t="shared" si="14"/>
        <v>196130</v>
      </c>
      <c r="I28" s="12">
        <f t="shared" si="15"/>
        <v>142482</v>
      </c>
      <c r="J28" s="7">
        <f t="shared" si="10"/>
        <v>1.9916796671867019</v>
      </c>
      <c r="K28" s="7">
        <f t="shared" si="11"/>
        <v>1.0367323783860343</v>
      </c>
      <c r="L28" s="38">
        <f t="shared" si="12"/>
        <v>-5.2127433354598054</v>
      </c>
      <c r="M28" s="38">
        <f t="shared" si="13"/>
        <v>18.508845619609232</v>
      </c>
      <c r="N28" s="5"/>
      <c r="O28" s="5"/>
      <c r="P28" s="5"/>
      <c r="Q28" s="5"/>
      <c r="R28" s="5">
        <v>4400</v>
      </c>
      <c r="S28" s="5"/>
      <c r="T28" s="5">
        <v>191730</v>
      </c>
      <c r="U28" s="5">
        <v>142482</v>
      </c>
    </row>
    <row r="29" spans="1:26" ht="29.25" customHeight="1" x14ac:dyDescent="0.3">
      <c r="A29" s="27" t="s">
        <v>30</v>
      </c>
      <c r="B29" s="37">
        <v>119500</v>
      </c>
      <c r="C29" s="37">
        <v>92970</v>
      </c>
      <c r="D29" s="37">
        <v>118109</v>
      </c>
      <c r="E29" s="37">
        <v>86110</v>
      </c>
      <c r="F29" s="38">
        <f t="shared" si="0"/>
        <v>-1.1640167364016776</v>
      </c>
      <c r="G29" s="38">
        <f t="shared" si="1"/>
        <v>-7.3787243196730117</v>
      </c>
      <c r="H29" s="12">
        <f t="shared" si="14"/>
        <v>128000</v>
      </c>
      <c r="I29" s="12">
        <f t="shared" si="15"/>
        <v>98576</v>
      </c>
      <c r="J29" s="7">
        <f t="shared" si="10"/>
        <v>7.1129707112970664</v>
      </c>
      <c r="K29" s="7">
        <f t="shared" si="11"/>
        <v>6.0299021189631077</v>
      </c>
      <c r="L29" s="38">
        <f t="shared" si="12"/>
        <v>8.3744676527614388</v>
      </c>
      <c r="M29" s="38">
        <f t="shared" si="13"/>
        <v>14.476831959122066</v>
      </c>
      <c r="N29" s="5"/>
      <c r="O29" s="5"/>
      <c r="P29" s="5"/>
      <c r="Q29" s="5"/>
      <c r="R29" s="5">
        <v>500</v>
      </c>
      <c r="S29" s="5"/>
      <c r="T29" s="5">
        <v>127500</v>
      </c>
      <c r="U29" s="5">
        <v>98576</v>
      </c>
    </row>
    <row r="30" spans="1:26" ht="33" customHeight="1" x14ac:dyDescent="0.3">
      <c r="A30" s="28" t="s">
        <v>31</v>
      </c>
      <c r="B30" s="36">
        <v>1150804</v>
      </c>
      <c r="C30" s="36">
        <v>951710</v>
      </c>
      <c r="D30" s="36">
        <v>1209919</v>
      </c>
      <c r="E30" s="36">
        <v>952119</v>
      </c>
      <c r="F30" s="38">
        <f t="shared" si="0"/>
        <v>5.1368434590077783</v>
      </c>
      <c r="G30" s="38">
        <f t="shared" si="1"/>
        <v>4.2975276081989477E-2</v>
      </c>
      <c r="H30" s="12">
        <f t="shared" si="14"/>
        <v>1245472</v>
      </c>
      <c r="I30" s="12">
        <f t="shared" si="15"/>
        <v>1021566</v>
      </c>
      <c r="J30" s="7">
        <f t="shared" si="10"/>
        <v>8.2262487791144139</v>
      </c>
      <c r="K30" s="7">
        <f t="shared" si="11"/>
        <v>7.3400510659759703</v>
      </c>
      <c r="L30" s="38">
        <f t="shared" si="12"/>
        <v>2.9384611697146568</v>
      </c>
      <c r="M30" s="38">
        <f t="shared" si="13"/>
        <v>7.2939411985266673</v>
      </c>
      <c r="N30" s="5">
        <v>30672</v>
      </c>
      <c r="O30" s="5"/>
      <c r="P30" s="5"/>
      <c r="Q30" s="5"/>
      <c r="R30" s="5">
        <v>11000</v>
      </c>
      <c r="S30" s="5"/>
      <c r="T30" s="5">
        <v>1203800</v>
      </c>
      <c r="U30" s="5">
        <v>1021566</v>
      </c>
    </row>
    <row r="31" spans="1:26" ht="30" customHeight="1" x14ac:dyDescent="0.3">
      <c r="A31" s="25" t="s">
        <v>32</v>
      </c>
      <c r="B31" s="36">
        <v>477970</v>
      </c>
      <c r="C31" s="36">
        <v>350510</v>
      </c>
      <c r="D31" s="36">
        <v>493341</v>
      </c>
      <c r="E31" s="36">
        <v>327284</v>
      </c>
      <c r="F31" s="38">
        <f t="shared" si="0"/>
        <v>3.2158922108082066</v>
      </c>
      <c r="G31" s="38">
        <f t="shared" si="1"/>
        <v>-6.6263444694873215</v>
      </c>
      <c r="H31" s="12">
        <f t="shared" si="14"/>
        <v>337000</v>
      </c>
      <c r="I31" s="12">
        <f t="shared" si="15"/>
        <v>266517</v>
      </c>
      <c r="J31" s="7">
        <f t="shared" si="10"/>
        <v>-29.493482854572463</v>
      </c>
      <c r="K31" s="7">
        <f t="shared" si="11"/>
        <v>-23.963082365695698</v>
      </c>
      <c r="L31" s="38">
        <f t="shared" si="12"/>
        <v>-31.690250759616575</v>
      </c>
      <c r="M31" s="38">
        <f t="shared" si="13"/>
        <v>-18.567054912553019</v>
      </c>
      <c r="N31" s="5"/>
      <c r="O31" s="5"/>
      <c r="P31" s="5"/>
      <c r="Q31" s="5"/>
      <c r="R31" s="5">
        <v>23700</v>
      </c>
      <c r="S31" s="5"/>
      <c r="T31" s="5">
        <v>313300</v>
      </c>
      <c r="U31" s="5">
        <v>266517</v>
      </c>
    </row>
    <row r="32" spans="1:26" ht="34.5" customHeight="1" x14ac:dyDescent="0.3">
      <c r="A32" s="25" t="s">
        <v>38</v>
      </c>
      <c r="B32" s="36"/>
      <c r="C32" s="36"/>
      <c r="D32" s="36"/>
      <c r="E32" s="36"/>
      <c r="F32" s="38"/>
      <c r="G32" s="38"/>
      <c r="H32" s="12">
        <f t="shared" si="14"/>
        <v>208480</v>
      </c>
      <c r="I32" s="12">
        <f t="shared" si="15"/>
        <v>152303</v>
      </c>
      <c r="J32" s="7"/>
      <c r="K32" s="7"/>
      <c r="L32" s="38"/>
      <c r="M32" s="38"/>
      <c r="N32" s="5"/>
      <c r="O32" s="5"/>
      <c r="P32" s="5"/>
      <c r="Q32" s="5"/>
      <c r="R32" s="5">
        <v>15000</v>
      </c>
      <c r="S32" s="5"/>
      <c r="T32" s="5">
        <v>193480</v>
      </c>
      <c r="U32" s="5">
        <v>152303</v>
      </c>
    </row>
    <row r="33" spans="1:23" ht="24" customHeight="1" x14ac:dyDescent="0.3">
      <c r="A33" s="25" t="s">
        <v>33</v>
      </c>
      <c r="B33" s="36">
        <v>720290</v>
      </c>
      <c r="C33" s="36">
        <v>571670</v>
      </c>
      <c r="D33" s="36">
        <v>788306</v>
      </c>
      <c r="E33" s="36">
        <v>531365</v>
      </c>
      <c r="F33" s="38">
        <f t="shared" si="0"/>
        <v>9.4428632911743904</v>
      </c>
      <c r="G33" s="38">
        <f t="shared" si="1"/>
        <v>-7.0503962076022901</v>
      </c>
      <c r="H33" s="12">
        <f t="shared" si="14"/>
        <v>749835</v>
      </c>
      <c r="I33" s="12">
        <f t="shared" si="15"/>
        <v>590306</v>
      </c>
      <c r="J33" s="7">
        <f t="shared" si="10"/>
        <v>4.1018201002374042</v>
      </c>
      <c r="K33" s="7">
        <f t="shared" si="11"/>
        <v>3.2599226826665699</v>
      </c>
      <c r="L33" s="38">
        <f t="shared" ref="L33:M35" si="16">H33/D33*100-100</f>
        <v>-4.8802114914766577</v>
      </c>
      <c r="M33" s="38">
        <f t="shared" si="16"/>
        <v>11.092375297582649</v>
      </c>
      <c r="N33" s="5">
        <v>22000</v>
      </c>
      <c r="O33" s="5">
        <v>21686</v>
      </c>
      <c r="P33" s="5"/>
      <c r="Q33" s="5"/>
      <c r="R33" s="5">
        <v>28035</v>
      </c>
      <c r="S33" s="5"/>
      <c r="T33" s="5">
        <v>699800</v>
      </c>
      <c r="U33" s="5">
        <v>568620</v>
      </c>
    </row>
    <row r="34" spans="1:23" ht="36.75" customHeight="1" x14ac:dyDescent="0.3">
      <c r="A34" s="25" t="s">
        <v>34</v>
      </c>
      <c r="B34" s="36">
        <v>942000</v>
      </c>
      <c r="C34" s="36">
        <v>836172</v>
      </c>
      <c r="D34" s="36">
        <v>1014096</v>
      </c>
      <c r="E34" s="36">
        <v>834047</v>
      </c>
      <c r="F34" s="38">
        <f>D34/B34*100-100</f>
        <v>7.6535031847133865</v>
      </c>
      <c r="G34" s="38">
        <f t="shared" si="1"/>
        <v>-0.25413431686304477</v>
      </c>
      <c r="H34" s="12">
        <f t="shared" si="14"/>
        <v>939160</v>
      </c>
      <c r="I34" s="12">
        <f t="shared" si="15"/>
        <v>882001</v>
      </c>
      <c r="J34" s="7">
        <f>H34/B34*100-100</f>
        <v>-0.30148619957537903</v>
      </c>
      <c r="K34" s="7">
        <f>I34/C34*100-100</f>
        <v>5.4808101682428827</v>
      </c>
      <c r="L34" s="38">
        <f t="shared" si="16"/>
        <v>-7.3894384752528453</v>
      </c>
      <c r="M34" s="38">
        <f t="shared" si="16"/>
        <v>5.7495560801729368</v>
      </c>
      <c r="N34" s="5">
        <v>900100</v>
      </c>
      <c r="O34" s="5">
        <v>849421</v>
      </c>
      <c r="P34" s="5"/>
      <c r="Q34" s="5"/>
      <c r="R34" s="5"/>
      <c r="S34" s="5"/>
      <c r="T34" s="5">
        <v>39060</v>
      </c>
      <c r="U34" s="5">
        <v>32580</v>
      </c>
    </row>
    <row r="35" spans="1:23" ht="31.2" x14ac:dyDescent="0.3">
      <c r="A35" s="35" t="s">
        <v>36</v>
      </c>
      <c r="B35" s="10">
        <f>SUM(B23:B34)</f>
        <v>6114751</v>
      </c>
      <c r="C35" s="10">
        <f>SUM(C23:C34)</f>
        <v>4942932</v>
      </c>
      <c r="D35" s="10">
        <f t="shared" ref="D35:E35" si="17">SUM(D23:D34)</f>
        <v>6404175</v>
      </c>
      <c r="E35" s="10">
        <f t="shared" si="17"/>
        <v>4792580</v>
      </c>
      <c r="F35" s="11">
        <f t="shared" si="0"/>
        <v>4.7332099050313019</v>
      </c>
      <c r="G35" s="11">
        <f t="shared" si="1"/>
        <v>-3.0417574022867342</v>
      </c>
      <c r="H35" s="10">
        <f>SUM(H23:H34)</f>
        <v>6597337</v>
      </c>
      <c r="I35" s="10">
        <f>SUM(I23:I34)</f>
        <v>5366685</v>
      </c>
      <c r="J35" s="11">
        <f t="shared" si="10"/>
        <v>7.8921611035347183</v>
      </c>
      <c r="K35" s="11">
        <f t="shared" si="11"/>
        <v>8.5729077397787421</v>
      </c>
      <c r="L35" s="11">
        <f t="shared" si="16"/>
        <v>3.0161886581800132</v>
      </c>
      <c r="M35" s="11">
        <f t="shared" si="16"/>
        <v>11.979038430240081</v>
      </c>
      <c r="N35" s="10">
        <f>SUM(N23:N34)</f>
        <v>1236370</v>
      </c>
      <c r="O35" s="10">
        <f t="shared" ref="O35:U35" si="18">SUM(O23:O34)</f>
        <v>1096498</v>
      </c>
      <c r="P35" s="10">
        <f t="shared" si="18"/>
        <v>0</v>
      </c>
      <c r="Q35" s="10">
        <f t="shared" si="18"/>
        <v>0</v>
      </c>
      <c r="R35" s="10">
        <f t="shared" si="18"/>
        <v>527598</v>
      </c>
      <c r="S35" s="10">
        <f t="shared" si="18"/>
        <v>240375</v>
      </c>
      <c r="T35" s="10">
        <f t="shared" si="18"/>
        <v>4833369</v>
      </c>
      <c r="U35" s="10">
        <f t="shared" si="18"/>
        <v>4029812</v>
      </c>
    </row>
    <row r="36" spans="1:23" x14ac:dyDescent="0.3">
      <c r="A36" s="24"/>
    </row>
    <row r="37" spans="1:23" ht="67.5" customHeight="1" x14ac:dyDescent="0.3">
      <c r="A37" s="25" t="s">
        <v>41</v>
      </c>
      <c r="B37" s="36">
        <v>4449725</v>
      </c>
      <c r="C37" s="36">
        <v>3521537</v>
      </c>
      <c r="D37" s="36">
        <v>4077922</v>
      </c>
      <c r="E37" s="36">
        <v>3272039</v>
      </c>
      <c r="F37" s="39">
        <f t="shared" ref="F37:F38" si="19">D37/B37*100-100</f>
        <v>-8.3556399552781357</v>
      </c>
      <c r="G37" s="39">
        <f t="shared" ref="G37:G38" si="20">E37/C37*100-100</f>
        <v>-7.0849177504027239</v>
      </c>
      <c r="H37" s="12">
        <f t="shared" ref="H37:H38" si="21">N37+P37+R37+T37</f>
        <v>5272967</v>
      </c>
      <c r="I37" s="12">
        <f>O37+Q37+S37+U37</f>
        <v>3957018</v>
      </c>
      <c r="J37" s="7">
        <f t="shared" ref="J37:J50" si="22">H37/B37*100-100</f>
        <v>18.50096354269084</v>
      </c>
      <c r="K37" s="7">
        <f t="shared" ref="K37:K50" si="23">I37/C37*100-100</f>
        <v>12.366219636482583</v>
      </c>
      <c r="L37" s="39">
        <f t="shared" ref="L37:L38" si="24">H37/D37*100-100</f>
        <v>29.305244190546063</v>
      </c>
      <c r="M37" s="39">
        <f>I37/E37*100-100</f>
        <v>20.934316491948906</v>
      </c>
      <c r="N37" s="5">
        <v>598826</v>
      </c>
      <c r="O37" s="5">
        <v>540896</v>
      </c>
      <c r="P37" s="5"/>
      <c r="Q37" s="5"/>
      <c r="R37" s="5">
        <v>60000</v>
      </c>
      <c r="S37" s="5"/>
      <c r="T37" s="5">
        <f>4452141+162000</f>
        <v>4614141</v>
      </c>
      <c r="U37" s="5">
        <f>3037000+379122</f>
        <v>3416122</v>
      </c>
    </row>
    <row r="38" spans="1:23" ht="32.25" customHeight="1" x14ac:dyDescent="0.3">
      <c r="A38" s="40" t="s">
        <v>47</v>
      </c>
      <c r="B38" s="36">
        <f>146190+4400</f>
        <v>150590</v>
      </c>
      <c r="C38" s="36">
        <v>128612</v>
      </c>
      <c r="D38" s="36">
        <v>142220</v>
      </c>
      <c r="E38" s="36">
        <v>121712</v>
      </c>
      <c r="F38" s="39">
        <f t="shared" si="19"/>
        <v>-5.5581379905704154</v>
      </c>
      <c r="G38" s="39">
        <f t="shared" si="20"/>
        <v>-5.3649737194041052</v>
      </c>
      <c r="H38" s="12">
        <f t="shared" si="21"/>
        <v>165570</v>
      </c>
      <c r="I38" s="12">
        <f t="shared" ref="I38" si="25">O38+Q38+S38+U38</f>
        <v>147490</v>
      </c>
      <c r="J38" s="7">
        <f t="shared" si="22"/>
        <v>9.947539677269404</v>
      </c>
      <c r="K38" s="7">
        <f t="shared" si="23"/>
        <v>14.678257083320375</v>
      </c>
      <c r="L38" s="39">
        <f t="shared" si="24"/>
        <v>16.418225284770088</v>
      </c>
      <c r="M38" s="42">
        <f>I38/E38*100-100</f>
        <v>21.179505718417246</v>
      </c>
      <c r="N38" s="5"/>
      <c r="O38" s="5"/>
      <c r="P38" s="5"/>
      <c r="Q38" s="5"/>
      <c r="R38" s="5">
        <v>2070</v>
      </c>
      <c r="S38" s="5"/>
      <c r="T38" s="5">
        <v>163500</v>
      </c>
      <c r="U38" s="5">
        <v>147490</v>
      </c>
      <c r="W38" s="43" t="s">
        <v>46</v>
      </c>
    </row>
    <row r="39" spans="1:23" ht="27.6" x14ac:dyDescent="0.3">
      <c r="A39" s="40" t="s">
        <v>48</v>
      </c>
      <c r="B39" s="36">
        <f>172010+1520</f>
        <v>173530</v>
      </c>
      <c r="C39" s="36">
        <v>103775</v>
      </c>
      <c r="D39" s="36">
        <v>156314</v>
      </c>
      <c r="E39" s="36">
        <v>105993</v>
      </c>
      <c r="F39" s="39">
        <f t="shared" ref="F39:F49" si="26">D39/B39*100-100</f>
        <v>-9.9210511150809708</v>
      </c>
      <c r="G39" s="39">
        <f t="shared" ref="G39:G49" si="27">E39/C39*100-100</f>
        <v>2.1373163093230545</v>
      </c>
      <c r="H39" s="12">
        <f t="shared" ref="H39:H49" si="28">N39+P39+R39+T39</f>
        <v>180300</v>
      </c>
      <c r="I39" s="12">
        <f t="shared" ref="I39:I49" si="29">O39+Q39+S39+U39</f>
        <v>119820</v>
      </c>
      <c r="J39" s="7">
        <f t="shared" si="22"/>
        <v>3.9013427073128639</v>
      </c>
      <c r="K39" s="7">
        <f t="shared" si="23"/>
        <v>15.461334618164301</v>
      </c>
      <c r="L39" s="39">
        <f t="shared" ref="L39:L49" si="30">H39/D39*100-100</f>
        <v>15.344754788438664</v>
      </c>
      <c r="M39" s="39">
        <f t="shared" ref="M39:M49" si="31">I39/E39*100-100</f>
        <v>13.045201098185714</v>
      </c>
      <c r="N39" s="41"/>
      <c r="O39" s="41"/>
      <c r="P39" s="41"/>
      <c r="Q39" s="41"/>
      <c r="R39" s="41"/>
      <c r="S39" s="41"/>
      <c r="T39" s="41">
        <v>180300</v>
      </c>
      <c r="U39" s="41">
        <v>119820</v>
      </c>
    </row>
    <row r="40" spans="1:23" ht="27.6" x14ac:dyDescent="0.3">
      <c r="A40" s="40" t="s">
        <v>49</v>
      </c>
      <c r="B40" s="36">
        <f>103710+1280</f>
        <v>104990</v>
      </c>
      <c r="C40" s="36">
        <v>63914</v>
      </c>
      <c r="D40" s="36">
        <v>78991</v>
      </c>
      <c r="E40" s="36">
        <v>49841</v>
      </c>
      <c r="F40" s="39">
        <f t="shared" si="26"/>
        <v>-24.763310791503955</v>
      </c>
      <c r="G40" s="39">
        <f t="shared" si="27"/>
        <v>-22.0186500610195</v>
      </c>
      <c r="H40" s="12">
        <f>N40+P40+R40+T40</f>
        <v>120130</v>
      </c>
      <c r="I40" s="12">
        <f t="shared" si="29"/>
        <v>78390</v>
      </c>
      <c r="J40" s="7">
        <f t="shared" si="22"/>
        <v>14.420420992475471</v>
      </c>
      <c r="K40" s="7">
        <f t="shared" si="23"/>
        <v>22.649184842131604</v>
      </c>
      <c r="L40" s="39">
        <f t="shared" si="30"/>
        <v>52.080616779126728</v>
      </c>
      <c r="M40" s="42">
        <f t="shared" si="31"/>
        <v>57.280150879797759</v>
      </c>
      <c r="N40" s="41"/>
      <c r="O40" s="41"/>
      <c r="P40" s="41"/>
      <c r="Q40" s="41"/>
      <c r="R40" s="41">
        <v>1650</v>
      </c>
      <c r="S40" s="41"/>
      <c r="T40" s="41">
        <v>118480</v>
      </c>
      <c r="U40" s="41">
        <v>78390</v>
      </c>
      <c r="W40" s="43" t="s">
        <v>44</v>
      </c>
    </row>
    <row r="41" spans="1:23" ht="27.6" x14ac:dyDescent="0.3">
      <c r="A41" s="40" t="s">
        <v>50</v>
      </c>
      <c r="B41" s="36">
        <f>127980+1560</f>
        <v>129540</v>
      </c>
      <c r="C41" s="36">
        <v>103190</v>
      </c>
      <c r="D41" s="36">
        <v>130821</v>
      </c>
      <c r="E41" s="36">
        <v>107256</v>
      </c>
      <c r="F41" s="39">
        <f t="shared" si="26"/>
        <v>0.9888837424733623</v>
      </c>
      <c r="G41" s="39">
        <f t="shared" si="27"/>
        <v>3.9403042930516534</v>
      </c>
      <c r="H41" s="12">
        <f t="shared" si="28"/>
        <v>146240</v>
      </c>
      <c r="I41" s="12">
        <f t="shared" si="29"/>
        <v>118540</v>
      </c>
      <c r="J41" s="7">
        <f t="shared" si="22"/>
        <v>12.891770881580982</v>
      </c>
      <c r="K41" s="7">
        <f t="shared" si="23"/>
        <v>14.875472429498984</v>
      </c>
      <c r="L41" s="39">
        <f t="shared" si="30"/>
        <v>11.786333998364171</v>
      </c>
      <c r="M41" s="39">
        <f t="shared" si="31"/>
        <v>10.520623554859412</v>
      </c>
      <c r="N41" s="41"/>
      <c r="O41" s="41"/>
      <c r="P41" s="41"/>
      <c r="Q41" s="41"/>
      <c r="R41" s="41">
        <v>2990</v>
      </c>
      <c r="S41" s="41"/>
      <c r="T41" s="41">
        <v>143250</v>
      </c>
      <c r="U41" s="41">
        <v>118540</v>
      </c>
    </row>
    <row r="42" spans="1:23" ht="27.6" x14ac:dyDescent="0.3">
      <c r="A42" s="40" t="s">
        <v>51</v>
      </c>
      <c r="B42" s="36">
        <f>144955+1130</f>
        <v>146085</v>
      </c>
      <c r="C42" s="36">
        <v>123212</v>
      </c>
      <c r="D42" s="36">
        <v>148660</v>
      </c>
      <c r="E42" s="36">
        <v>126025</v>
      </c>
      <c r="F42" s="39">
        <f t="shared" si="26"/>
        <v>1.7626724167436834</v>
      </c>
      <c r="G42" s="39">
        <f t="shared" si="27"/>
        <v>2.2830568451124975</v>
      </c>
      <c r="H42" s="12">
        <f t="shared" si="28"/>
        <v>167279</v>
      </c>
      <c r="I42" s="12">
        <f t="shared" si="29"/>
        <v>143590</v>
      </c>
      <c r="J42" s="7">
        <f t="shared" si="22"/>
        <v>14.507991922510868</v>
      </c>
      <c r="K42" s="7">
        <f t="shared" si="23"/>
        <v>16.538973476609414</v>
      </c>
      <c r="L42" s="39">
        <f t="shared" si="30"/>
        <v>12.524552670523349</v>
      </c>
      <c r="M42" s="39">
        <f t="shared" si="31"/>
        <v>13.9377107716723</v>
      </c>
      <c r="N42" s="41"/>
      <c r="O42" s="41"/>
      <c r="P42" s="41"/>
      <c r="Q42" s="41"/>
      <c r="R42" s="41">
        <v>928</v>
      </c>
      <c r="S42" s="41"/>
      <c r="T42" s="41">
        <v>166351</v>
      </c>
      <c r="U42" s="41">
        <v>143590</v>
      </c>
    </row>
    <row r="43" spans="1:23" ht="27.6" x14ac:dyDescent="0.3">
      <c r="A43" s="40" t="s">
        <v>52</v>
      </c>
      <c r="B43" s="36">
        <f>207301+10520+76000</f>
        <v>293821</v>
      </c>
      <c r="C43" s="36">
        <f>168109+12456</f>
        <v>180565</v>
      </c>
      <c r="D43" s="36">
        <v>248996</v>
      </c>
      <c r="E43" s="36">
        <f>153121+12395</f>
        <v>165516</v>
      </c>
      <c r="F43" s="39">
        <f t="shared" si="26"/>
        <v>-15.255887087716673</v>
      </c>
      <c r="G43" s="39">
        <f t="shared" si="27"/>
        <v>-8.334394816271157</v>
      </c>
      <c r="H43" s="12">
        <f t="shared" si="28"/>
        <v>324772</v>
      </c>
      <c r="I43" s="12">
        <f t="shared" si="29"/>
        <v>212934</v>
      </c>
      <c r="J43" s="7">
        <f t="shared" si="22"/>
        <v>10.533964556651824</v>
      </c>
      <c r="K43" s="7">
        <f t="shared" si="23"/>
        <v>17.926508459557496</v>
      </c>
      <c r="L43" s="39">
        <f t="shared" si="30"/>
        <v>30.43261739144404</v>
      </c>
      <c r="M43" s="42">
        <f t="shared" si="31"/>
        <v>28.648589864423968</v>
      </c>
      <c r="N43" s="41"/>
      <c r="O43" s="41"/>
      <c r="P43" s="41"/>
      <c r="Q43" s="41"/>
      <c r="R43" s="41">
        <v>89200</v>
      </c>
      <c r="S43" s="41">
        <v>14184</v>
      </c>
      <c r="T43" s="41">
        <v>235572</v>
      </c>
      <c r="U43" s="41">
        <v>198750</v>
      </c>
      <c r="W43" s="43" t="s">
        <v>45</v>
      </c>
    </row>
    <row r="44" spans="1:23" ht="27.6" x14ac:dyDescent="0.3">
      <c r="A44" s="40" t="s">
        <v>53</v>
      </c>
      <c r="B44" s="36">
        <f>145650+5510+500</f>
        <v>151660</v>
      </c>
      <c r="C44" s="36">
        <v>127052</v>
      </c>
      <c r="D44" s="36">
        <v>148800</v>
      </c>
      <c r="E44" s="36">
        <v>130086</v>
      </c>
      <c r="F44" s="39">
        <f t="shared" si="26"/>
        <v>-1.8857971778979277</v>
      </c>
      <c r="G44" s="39">
        <f t="shared" si="27"/>
        <v>2.3879986147404111</v>
      </c>
      <c r="H44" s="12">
        <f t="shared" si="28"/>
        <v>174810</v>
      </c>
      <c r="I44" s="12">
        <f t="shared" si="29"/>
        <v>146600</v>
      </c>
      <c r="J44" s="7">
        <f t="shared" si="22"/>
        <v>15.26440722669129</v>
      </c>
      <c r="K44" s="7">
        <f t="shared" si="23"/>
        <v>15.385826275855564</v>
      </c>
      <c r="L44" s="39">
        <f t="shared" si="30"/>
        <v>17.479838709677423</v>
      </c>
      <c r="M44" s="39">
        <f t="shared" si="31"/>
        <v>12.694678904724583</v>
      </c>
      <c r="N44" s="41"/>
      <c r="O44" s="41"/>
      <c r="P44" s="41"/>
      <c r="Q44" s="41"/>
      <c r="R44" s="41">
        <v>6280</v>
      </c>
      <c r="S44" s="41"/>
      <c r="T44" s="41">
        <v>168530</v>
      </c>
      <c r="U44" s="41">
        <v>146600</v>
      </c>
    </row>
    <row r="45" spans="1:23" ht="27.6" x14ac:dyDescent="0.3">
      <c r="A45" s="40" t="s">
        <v>54</v>
      </c>
      <c r="B45" s="36">
        <f>117107+3510</f>
        <v>120617</v>
      </c>
      <c r="C45" s="36">
        <v>103640</v>
      </c>
      <c r="D45" s="36">
        <v>120649</v>
      </c>
      <c r="E45" s="36">
        <v>105841</v>
      </c>
      <c r="F45" s="39">
        <f t="shared" si="26"/>
        <v>2.6530256928964491E-2</v>
      </c>
      <c r="G45" s="39">
        <f t="shared" si="27"/>
        <v>2.1236974141258145</v>
      </c>
      <c r="H45" s="12">
        <f t="shared" si="28"/>
        <v>136827</v>
      </c>
      <c r="I45" s="12">
        <f t="shared" si="29"/>
        <v>121140</v>
      </c>
      <c r="J45" s="7">
        <f t="shared" si="22"/>
        <v>13.43923327557475</v>
      </c>
      <c r="K45" s="7">
        <f t="shared" si="23"/>
        <v>16.885372443072171</v>
      </c>
      <c r="L45" s="39">
        <f t="shared" si="30"/>
        <v>13.409145537882623</v>
      </c>
      <c r="M45" s="39">
        <f t="shared" si="31"/>
        <v>14.454700919303477</v>
      </c>
      <c r="N45" s="41"/>
      <c r="O45" s="41"/>
      <c r="P45" s="41"/>
      <c r="Q45" s="41"/>
      <c r="R45" s="41">
        <v>2270</v>
      </c>
      <c r="S45" s="41"/>
      <c r="T45" s="41">
        <v>134557</v>
      </c>
      <c r="U45" s="41">
        <v>121140</v>
      </c>
    </row>
    <row r="46" spans="1:23" ht="27.6" x14ac:dyDescent="0.3">
      <c r="A46" s="40" t="s">
        <v>55</v>
      </c>
      <c r="B46" s="36">
        <v>150827</v>
      </c>
      <c r="C46" s="36">
        <v>135177</v>
      </c>
      <c r="D46" s="36">
        <v>130520</v>
      </c>
      <c r="E46" s="36">
        <v>121071</v>
      </c>
      <c r="F46" s="39">
        <f t="shared" si="26"/>
        <v>-13.463769749448034</v>
      </c>
      <c r="G46" s="39">
        <f t="shared" si="27"/>
        <v>-10.435207172817869</v>
      </c>
      <c r="H46" s="12">
        <f t="shared" si="28"/>
        <v>140253</v>
      </c>
      <c r="I46" s="12">
        <f t="shared" si="29"/>
        <v>125360</v>
      </c>
      <c r="J46" s="7">
        <f t="shared" si="22"/>
        <v>-7.0106811114720813</v>
      </c>
      <c r="K46" s="7">
        <f t="shared" si="23"/>
        <v>-7.262330130125676</v>
      </c>
      <c r="L46" s="39">
        <f t="shared" si="30"/>
        <v>7.457094698130561</v>
      </c>
      <c r="M46" s="42">
        <f t="shared" si="31"/>
        <v>3.5425494131542621</v>
      </c>
      <c r="N46" s="41"/>
      <c r="O46" s="41"/>
      <c r="P46" s="41"/>
      <c r="Q46" s="41"/>
      <c r="R46" s="41"/>
      <c r="S46" s="41"/>
      <c r="T46" s="41">
        <v>140253</v>
      </c>
      <c r="U46" s="41">
        <v>125360</v>
      </c>
      <c r="W46" s="43" t="s">
        <v>43</v>
      </c>
    </row>
    <row r="47" spans="1:23" ht="27.6" x14ac:dyDescent="0.3">
      <c r="A47" s="40" t="s">
        <v>56</v>
      </c>
      <c r="B47" s="36">
        <f>152220+7590</f>
        <v>159810</v>
      </c>
      <c r="C47" s="36">
        <v>127260</v>
      </c>
      <c r="D47" s="36">
        <v>142950</v>
      </c>
      <c r="E47" s="36">
        <v>123822</v>
      </c>
      <c r="F47" s="39">
        <f t="shared" si="26"/>
        <v>-10.550028158438138</v>
      </c>
      <c r="G47" s="39">
        <f t="shared" si="27"/>
        <v>-2.701555869872692</v>
      </c>
      <c r="H47" s="12">
        <f t="shared" si="28"/>
        <v>177330</v>
      </c>
      <c r="I47" s="12">
        <f t="shared" si="29"/>
        <v>145080</v>
      </c>
      <c r="J47" s="7">
        <f t="shared" si="22"/>
        <v>10.963018584569184</v>
      </c>
      <c r="K47" s="7">
        <f t="shared" si="23"/>
        <v>14.002828854314004</v>
      </c>
      <c r="L47" s="39">
        <f t="shared" si="30"/>
        <v>24.050367261280158</v>
      </c>
      <c r="M47" s="42">
        <f t="shared" si="31"/>
        <v>17.168193051315612</v>
      </c>
      <c r="N47" s="41"/>
      <c r="O47" s="41"/>
      <c r="P47" s="41"/>
      <c r="Q47" s="41"/>
      <c r="R47" s="41">
        <v>5410</v>
      </c>
      <c r="S47" s="41"/>
      <c r="T47" s="41">
        <v>171920</v>
      </c>
      <c r="U47" s="41">
        <v>145080</v>
      </c>
      <c r="W47" s="43" t="s">
        <v>46</v>
      </c>
    </row>
    <row r="48" spans="1:23" ht="27.6" x14ac:dyDescent="0.3">
      <c r="A48" s="40" t="s">
        <v>57</v>
      </c>
      <c r="B48" s="36">
        <f>160032+10730+3200</f>
        <v>173962</v>
      </c>
      <c r="C48" s="36">
        <v>139820</v>
      </c>
      <c r="D48" s="36">
        <v>170647</v>
      </c>
      <c r="E48" s="36">
        <v>148401</v>
      </c>
      <c r="F48" s="39">
        <f t="shared" si="26"/>
        <v>-1.9055885768156315</v>
      </c>
      <c r="G48" s="39">
        <f t="shared" si="27"/>
        <v>6.137176369618075</v>
      </c>
      <c r="H48" s="12">
        <f t="shared" si="28"/>
        <v>193631</v>
      </c>
      <c r="I48" s="12">
        <f t="shared" si="29"/>
        <v>160060</v>
      </c>
      <c r="J48" s="7">
        <f t="shared" si="22"/>
        <v>11.306492222439374</v>
      </c>
      <c r="K48" s="7">
        <f t="shared" si="23"/>
        <v>14.475754541553428</v>
      </c>
      <c r="L48" s="39">
        <f t="shared" si="30"/>
        <v>13.468739561785441</v>
      </c>
      <c r="M48" s="39">
        <f t="shared" si="31"/>
        <v>7.8564160618863781</v>
      </c>
      <c r="N48" s="41"/>
      <c r="O48" s="41"/>
      <c r="P48" s="41"/>
      <c r="Q48" s="41"/>
      <c r="R48" s="41">
        <v>11400</v>
      </c>
      <c r="S48" s="41"/>
      <c r="T48" s="41">
        <v>182231</v>
      </c>
      <c r="U48" s="41">
        <v>160060</v>
      </c>
    </row>
    <row r="49" spans="1:23" ht="27.6" x14ac:dyDescent="0.3">
      <c r="A49" s="40" t="s">
        <v>58</v>
      </c>
      <c r="B49" s="36">
        <f>142124+1020</f>
        <v>143144</v>
      </c>
      <c r="C49" s="36">
        <v>116538</v>
      </c>
      <c r="D49" s="36">
        <v>128958</v>
      </c>
      <c r="E49" s="36">
        <v>109209</v>
      </c>
      <c r="F49" s="39">
        <f t="shared" si="26"/>
        <v>-9.9103001173643293</v>
      </c>
      <c r="G49" s="39">
        <f t="shared" si="27"/>
        <v>-6.2889357977655322</v>
      </c>
      <c r="H49" s="12">
        <f t="shared" si="28"/>
        <v>157572</v>
      </c>
      <c r="I49" s="12">
        <f t="shared" si="29"/>
        <v>130750</v>
      </c>
      <c r="J49" s="7">
        <f t="shared" si="22"/>
        <v>10.079360643827201</v>
      </c>
      <c r="K49" s="7">
        <f t="shared" si="23"/>
        <v>12.195163809229598</v>
      </c>
      <c r="L49" s="39">
        <f t="shared" si="30"/>
        <v>22.188619550551337</v>
      </c>
      <c r="M49" s="42">
        <f t="shared" si="31"/>
        <v>19.724564825243334</v>
      </c>
      <c r="N49" s="41"/>
      <c r="O49" s="41"/>
      <c r="P49" s="41"/>
      <c r="Q49" s="41"/>
      <c r="R49" s="41">
        <v>2035</v>
      </c>
      <c r="S49" s="41"/>
      <c r="T49" s="41">
        <v>155537</v>
      </c>
      <c r="U49" s="41">
        <v>130750</v>
      </c>
      <c r="W49" s="43" t="s">
        <v>45</v>
      </c>
    </row>
    <row r="50" spans="1:23" x14ac:dyDescent="0.3">
      <c r="A50" s="35" t="s">
        <v>42</v>
      </c>
      <c r="B50" s="10">
        <f>SUM(B37:B49)</f>
        <v>6348301</v>
      </c>
      <c r="C50" s="10">
        <f>SUM(C37:C49)</f>
        <v>4974292</v>
      </c>
      <c r="D50" s="10">
        <f>SUM(D37:D49)</f>
        <v>5826448</v>
      </c>
      <c r="E50" s="10">
        <f>SUM(E37:E49)</f>
        <v>4686812</v>
      </c>
      <c r="F50" s="11">
        <f>D50/B50*100-100</f>
        <v>-8.2203569112428596</v>
      </c>
      <c r="G50" s="11">
        <f>E50/C50*100-100</f>
        <v>-5.779314925621577</v>
      </c>
      <c r="H50" s="10">
        <f>SUM(H37:H49)</f>
        <v>7357681</v>
      </c>
      <c r="I50" s="10">
        <f>SUM(I37:I49)</f>
        <v>5606772</v>
      </c>
      <c r="J50" s="11">
        <f t="shared" si="22"/>
        <v>15.900002221066714</v>
      </c>
      <c r="K50" s="11">
        <f t="shared" si="23"/>
        <v>12.714975317090364</v>
      </c>
      <c r="L50" s="11">
        <f>H50/D50*100-100</f>
        <v>26.280728841997728</v>
      </c>
      <c r="M50" s="11">
        <f>I50/E50*100-100</f>
        <v>19.628694302225043</v>
      </c>
      <c r="N50" s="10">
        <f t="shared" ref="N50:U50" si="32">SUM(N37:N49)</f>
        <v>598826</v>
      </c>
      <c r="O50" s="10">
        <f t="shared" si="32"/>
        <v>540896</v>
      </c>
      <c r="P50" s="10">
        <f t="shared" si="32"/>
        <v>0</v>
      </c>
      <c r="Q50" s="10">
        <f t="shared" si="32"/>
        <v>0</v>
      </c>
      <c r="R50" s="10">
        <f t="shared" si="32"/>
        <v>184233</v>
      </c>
      <c r="S50" s="10">
        <f t="shared" si="32"/>
        <v>14184</v>
      </c>
      <c r="T50" s="10">
        <f t="shared" si="32"/>
        <v>6574622</v>
      </c>
      <c r="U50" s="10">
        <f t="shared" si="32"/>
        <v>5051692</v>
      </c>
    </row>
    <row r="52" spans="1:23" ht="36.75" customHeight="1" x14ac:dyDescent="0.3">
      <c r="A52" s="25" t="s">
        <v>39</v>
      </c>
      <c r="B52" s="36">
        <v>80600</v>
      </c>
      <c r="C52" s="36">
        <v>75130</v>
      </c>
      <c r="D52" s="36">
        <v>80225</v>
      </c>
      <c r="E52" s="36">
        <v>74356</v>
      </c>
      <c r="F52" s="39">
        <f>D52/B52*100-100</f>
        <v>-0.46526054590570709</v>
      </c>
      <c r="G52" s="39">
        <f>E52/C52*100-100</f>
        <v>-1.0302142952216258</v>
      </c>
      <c r="H52" s="12">
        <f>N52+P52+R52+T52</f>
        <v>90000</v>
      </c>
      <c r="I52" s="12">
        <v>83900</v>
      </c>
      <c r="J52" s="7">
        <f t="shared" ref="J52:J53" si="33">H52/B52*100-100</f>
        <v>11.66253101736973</v>
      </c>
      <c r="K52" s="7">
        <f t="shared" ref="K52:K53" si="34">I52/C52*100-100</f>
        <v>11.673099960069223</v>
      </c>
      <c r="L52" s="39">
        <f>H52/D52*100-100</f>
        <v>12.184481146774701</v>
      </c>
      <c r="M52" s="39">
        <f>I52/E52*100-100</f>
        <v>12.835547904674797</v>
      </c>
      <c r="N52" s="5"/>
      <c r="O52" s="5"/>
      <c r="P52" s="5"/>
      <c r="Q52" s="5"/>
      <c r="R52" s="5"/>
      <c r="S52" s="5"/>
      <c r="T52" s="12">
        <v>90000</v>
      </c>
      <c r="U52" s="12">
        <v>83900</v>
      </c>
    </row>
    <row r="53" spans="1:23" ht="38.25" customHeight="1" x14ac:dyDescent="0.3">
      <c r="A53" s="25" t="s">
        <v>40</v>
      </c>
      <c r="B53" s="36">
        <v>515000</v>
      </c>
      <c r="C53" s="36">
        <v>361224</v>
      </c>
      <c r="D53" s="36">
        <v>428921</v>
      </c>
      <c r="E53" s="36">
        <v>358573</v>
      </c>
      <c r="F53" s="39">
        <f>D53/B53*100-100</f>
        <v>-16.714368932038838</v>
      </c>
      <c r="G53" s="39">
        <f>E53/C53*100-100</f>
        <v>-0.7338936504772704</v>
      </c>
      <c r="H53" s="12">
        <f>N53+P53+R53+T53</f>
        <v>526000</v>
      </c>
      <c r="I53" s="12">
        <f>O53+Q53+S53+U53</f>
        <v>367660</v>
      </c>
      <c r="J53" s="7">
        <f t="shared" si="33"/>
        <v>2.1359223300970882</v>
      </c>
      <c r="K53" s="7">
        <f t="shared" si="34"/>
        <v>1.7817199300157256</v>
      </c>
      <c r="L53" s="39">
        <f>H53/D53*100-100</f>
        <v>22.633305433867761</v>
      </c>
      <c r="M53" s="39">
        <f>I53/E53*100-100</f>
        <v>2.5342120014613556</v>
      </c>
      <c r="N53" s="5"/>
      <c r="O53" s="5"/>
      <c r="P53" s="5"/>
      <c r="Q53" s="5"/>
      <c r="R53" s="5"/>
      <c r="S53" s="5"/>
      <c r="T53" s="5">
        <v>526000</v>
      </c>
      <c r="U53" s="5">
        <v>367660</v>
      </c>
    </row>
    <row r="55" spans="1:23" x14ac:dyDescent="0.3">
      <c r="A55" s="35" t="s">
        <v>3</v>
      </c>
      <c r="B55" s="10">
        <f>B21+B35+B50+B52+B53</f>
        <v>33919647</v>
      </c>
      <c r="C55" s="10">
        <f>C21+C35+C50+C52+C53</f>
        <v>28745998</v>
      </c>
      <c r="D55" s="10">
        <f>D21+D35+D50+D52+D53</f>
        <v>34500376</v>
      </c>
      <c r="E55" s="10">
        <f>E21+E35+E50+E52+E53</f>
        <v>27973387</v>
      </c>
      <c r="F55" s="11">
        <f>D55/B55*100-100</f>
        <v>1.7120726521711731</v>
      </c>
      <c r="G55" s="11">
        <f>E55/C55*100-100</f>
        <v>-2.6877167388657028</v>
      </c>
      <c r="H55" s="10">
        <f>H21+H35+H50+H52+H53</f>
        <v>37584695</v>
      </c>
      <c r="I55" s="10">
        <f>I21+I35+I50+I52+I53</f>
        <v>31775632</v>
      </c>
      <c r="J55" s="11">
        <f>H55/B55*100-100</f>
        <v>10.805088861921234</v>
      </c>
      <c r="K55" s="11">
        <f>I55/C55*100-100</f>
        <v>10.5393244652699</v>
      </c>
      <c r="L55" s="11">
        <f>H55/D55*100-100</f>
        <v>8.9399576398819534</v>
      </c>
      <c r="M55" s="11">
        <f>I55/E55*100-100</f>
        <v>13.592365486524741</v>
      </c>
      <c r="N55" s="10">
        <f t="shared" ref="N55:U55" si="35">N21+N35+N50+N52+N53</f>
        <v>2031676</v>
      </c>
      <c r="O55" s="10">
        <f t="shared" si="35"/>
        <v>1759570</v>
      </c>
      <c r="P55" s="10">
        <f t="shared" si="35"/>
        <v>12894465</v>
      </c>
      <c r="Q55" s="10">
        <f t="shared" si="35"/>
        <v>12510169</v>
      </c>
      <c r="R55" s="10">
        <f t="shared" si="35"/>
        <v>1424911</v>
      </c>
      <c r="S55" s="10">
        <f t="shared" si="35"/>
        <v>279105</v>
      </c>
      <c r="T55" s="10">
        <f t="shared" si="35"/>
        <v>21233643</v>
      </c>
      <c r="U55" s="10">
        <f t="shared" si="35"/>
        <v>17226788</v>
      </c>
    </row>
    <row r="57" spans="1:23" x14ac:dyDescent="0.3">
      <c r="B57" s="21"/>
      <c r="C57" s="21"/>
      <c r="D57" s="21"/>
      <c r="E57" s="21"/>
      <c r="F57" s="21"/>
      <c r="G57" s="21"/>
      <c r="H57" s="21"/>
    </row>
  </sheetData>
  <mergeCells count="24">
    <mergeCell ref="A3:M3"/>
    <mergeCell ref="A5:A7"/>
    <mergeCell ref="D5:E5"/>
    <mergeCell ref="H5:I5"/>
    <mergeCell ref="L5:M5"/>
    <mergeCell ref="D6:E6"/>
    <mergeCell ref="H6:I6"/>
    <mergeCell ref="L6:M6"/>
    <mergeCell ref="B5:C5"/>
    <mergeCell ref="B6:C6"/>
    <mergeCell ref="F5:G5"/>
    <mergeCell ref="F6:G6"/>
    <mergeCell ref="N5:O5"/>
    <mergeCell ref="N6:N7"/>
    <mergeCell ref="P5:Q5"/>
    <mergeCell ref="J5:K5"/>
    <mergeCell ref="J6:K6"/>
    <mergeCell ref="W5:W6"/>
    <mergeCell ref="X5:X6"/>
    <mergeCell ref="R5:S5"/>
    <mergeCell ref="R6:R7"/>
    <mergeCell ref="P6:P7"/>
    <mergeCell ref="T6:T7"/>
    <mergeCell ref="T5:U5"/>
  </mergeCells>
  <pageMargins left="1" right="0.15748031496062992" top="0.39370078740157483" bottom="0.27559055118110237" header="0.19685039370078741" footer="0.15748031496062992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Lapas1</vt:lpstr>
      <vt:lpstr>Lapas1!Print_Titles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Evelina Bietkiene</dc:creator>
  <cp:lastModifiedBy>Dovilė Dačkauskaitė</cp:lastModifiedBy>
  <cp:lastPrinted>2026-01-27T09:17:18Z</cp:lastPrinted>
  <dcterms:created xsi:type="dcterms:W3CDTF">2025-02-06T09:15:27Z</dcterms:created>
  <dcterms:modified xsi:type="dcterms:W3CDTF">2026-01-30T14:29:06Z</dcterms:modified>
</cp:coreProperties>
</file>