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-gruodis 2024-12/"/>
    </mc:Choice>
  </mc:AlternateContent>
  <xr:revisionPtr revIDLastSave="0" documentId="8_{8DCBC34D-A2EB-49E8-8646-06F355BDEED5}" xr6:coauthVersionLast="47" xr6:coauthVersionMax="47" xr10:uidLastSave="{00000000-0000-0000-0000-000000000000}"/>
  <bookViews>
    <workbookView xWindow="-108" yWindow="-108" windowWidth="23256" windowHeight="12576" tabRatio="758" activeTab="2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207" i="19" l="1"/>
  <c r="C184" i="19"/>
  <c r="C147" i="19"/>
  <c r="C224" i="19"/>
  <c r="C59" i="19"/>
  <c r="C62" i="19"/>
  <c r="C67" i="19"/>
  <c r="C209" i="19"/>
  <c r="C222" i="19"/>
  <c r="C64" i="19"/>
  <c r="L148" i="19"/>
  <c r="F18" i="19"/>
  <c r="F215" i="19"/>
  <c r="F216" i="19"/>
  <c r="F212" i="19"/>
  <c r="F213" i="19"/>
  <c r="O196" i="19"/>
  <c r="L183" i="19"/>
  <c r="C19" i="18"/>
  <c r="C18" i="18"/>
  <c r="C12" i="18"/>
  <c r="C26" i="18"/>
  <c r="C22" i="18"/>
  <c r="C24" i="18"/>
  <c r="C29" i="15"/>
  <c r="C32" i="15"/>
  <c r="C38" i="15"/>
  <c r="C27" i="20"/>
  <c r="C32" i="20"/>
  <c r="C26" i="20"/>
  <c r="C132" i="19"/>
  <c r="C17" i="18"/>
  <c r="C15" i="18"/>
  <c r="C117" i="19"/>
  <c r="C82" i="19"/>
  <c r="F220" i="19"/>
  <c r="F222" i="19"/>
  <c r="F19" i="19"/>
  <c r="C25" i="18"/>
  <c r="C40" i="15"/>
  <c r="L105" i="19"/>
  <c r="C16" i="18"/>
  <c r="C21" i="18"/>
  <c r="C21" i="15"/>
  <c r="F87" i="19"/>
  <c r="C16" i="20"/>
  <c r="C28" i="20"/>
  <c r="C226" i="19"/>
  <c r="C52" i="19"/>
  <c r="C38" i="19"/>
  <c r="C191" i="19"/>
  <c r="C225" i="19"/>
  <c r="L91" i="19"/>
  <c r="L92" i="19"/>
  <c r="C101" i="19"/>
  <c r="C14" i="18"/>
  <c r="L26" i="19"/>
  <c r="L29" i="19"/>
  <c r="C28" i="15"/>
  <c r="C27" i="15"/>
  <c r="F246" i="19"/>
  <c r="L174" i="19"/>
  <c r="L147" i="19"/>
  <c r="L180" i="19"/>
  <c r="L162" i="19"/>
  <c r="L182" i="19"/>
  <c r="L154" i="19"/>
  <c r="L168" i="19"/>
  <c r="L249" i="19"/>
  <c r="L121" i="19"/>
  <c r="L116" i="19"/>
  <c r="L117" i="19"/>
  <c r="F218" i="19"/>
  <c r="C37" i="15"/>
  <c r="F207" i="19"/>
  <c r="F209" i="19"/>
  <c r="F227" i="19"/>
  <c r="C42" i="15"/>
  <c r="O86" i="19"/>
  <c r="O107" i="19"/>
  <c r="I97" i="19"/>
  <c r="F46" i="19"/>
  <c r="C13" i="18"/>
  <c r="F210" i="19"/>
  <c r="C25" i="20"/>
  <c r="C11" i="15" l="1"/>
  <c r="C17" i="19"/>
  <c r="F217" i="19"/>
  <c r="C131" i="19"/>
  <c r="C24" i="19" l="1"/>
  <c r="C28" i="19"/>
  <c r="C25" i="19"/>
  <c r="C22" i="19"/>
  <c r="C21" i="19"/>
  <c r="C182" i="19"/>
  <c r="C118" i="19"/>
  <c r="C116" i="19"/>
  <c r="C119" i="19"/>
  <c r="C249" i="19"/>
  <c r="C130" i="19"/>
  <c r="C98" i="19"/>
  <c r="C34" i="19"/>
  <c r="C81" i="19"/>
  <c r="C80" i="19"/>
  <c r="C76" i="19"/>
  <c r="C185" i="19"/>
  <c r="C188" i="19"/>
  <c r="C18" i="15"/>
  <c r="C17" i="15"/>
  <c r="C22" i="15"/>
  <c r="C19" i="15"/>
  <c r="C13" i="15"/>
  <c r="C14" i="15"/>
  <c r="C183" i="19" l="1"/>
  <c r="I182" i="19"/>
  <c r="I181" i="19"/>
  <c r="I174" i="19"/>
  <c r="I177" i="19"/>
  <c r="I168" i="19"/>
  <c r="I162" i="19"/>
  <c r="I155" i="19"/>
  <c r="I154" i="19"/>
  <c r="I148" i="19"/>
  <c r="I147" i="19"/>
  <c r="I192" i="19"/>
  <c r="I183" i="19" s="1"/>
  <c r="C23" i="18"/>
  <c r="C33" i="15"/>
  <c r="C36" i="15"/>
  <c r="F180" i="19"/>
  <c r="F155" i="19"/>
  <c r="F148" i="19"/>
  <c r="F181" i="19"/>
  <c r="L118" i="19" l="1"/>
  <c r="F106" i="19"/>
  <c r="F97" i="19" s="1"/>
  <c r="C48" i="15"/>
  <c r="O248" i="19"/>
  <c r="C30" i="20" l="1"/>
  <c r="L250" i="19"/>
  <c r="C250" i="19"/>
  <c r="C227" i="19"/>
  <c r="C20" i="15"/>
  <c r="F194" i="19" l="1"/>
  <c r="L155" i="19" l="1"/>
  <c r="F224" i="19"/>
  <c r="C44" i="15"/>
  <c r="C78" i="19" l="1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6" i="19"/>
  <c r="H206" i="19"/>
  <c r="H205" i="19" s="1"/>
  <c r="I206" i="19"/>
  <c r="I205" i="19" s="1"/>
  <c r="J206" i="19"/>
  <c r="J205" i="19" s="1"/>
  <c r="K206" i="19"/>
  <c r="L206" i="19"/>
  <c r="L205" i="19" s="1"/>
  <c r="D206" i="19"/>
  <c r="E206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4" i="19"/>
  <c r="O214" i="19" s="1"/>
  <c r="C241" i="19"/>
  <c r="O241" i="19" s="1"/>
  <c r="C242" i="19"/>
  <c r="C236" i="19"/>
  <c r="O236" i="19" s="1"/>
  <c r="O224" i="19"/>
  <c r="C233" i="19"/>
  <c r="O233" i="19" s="1"/>
  <c r="C235" i="19"/>
  <c r="O235" i="19" s="1"/>
  <c r="C102" i="19"/>
  <c r="C97" i="19" s="1"/>
  <c r="C69" i="19"/>
  <c r="O69" i="19" s="1"/>
  <c r="C66" i="19"/>
  <c r="O66" i="19" s="1"/>
  <c r="O62" i="19"/>
  <c r="O67" i="19"/>
  <c r="F195" i="19"/>
  <c r="O195" i="19" s="1"/>
  <c r="O247" i="19"/>
  <c r="O209" i="19"/>
  <c r="F208" i="19"/>
  <c r="O208" i="19" s="1"/>
  <c r="O213" i="19"/>
  <c r="O227" i="19"/>
  <c r="F221" i="19"/>
  <c r="O221" i="19" s="1"/>
  <c r="O220" i="19"/>
  <c r="O246" i="19"/>
  <c r="O194" i="19"/>
  <c r="F193" i="19"/>
  <c r="O193" i="19" s="1"/>
  <c r="C24" i="20"/>
  <c r="C15" i="20"/>
  <c r="C34" i="20"/>
  <c r="C163" i="19"/>
  <c r="C164" i="19"/>
  <c r="O164" i="19" s="1"/>
  <c r="O173" i="19"/>
  <c r="C170" i="19"/>
  <c r="O160" i="19"/>
  <c r="O167" i="19"/>
  <c r="O158" i="19"/>
  <c r="C150" i="19"/>
  <c r="O150" i="19" s="1"/>
  <c r="C175" i="19"/>
  <c r="O153" i="19"/>
  <c r="C203" i="19"/>
  <c r="O203" i="19" s="1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4" i="19"/>
  <c r="C253" i="19"/>
  <c r="O253" i="19" s="1"/>
  <c r="F252" i="19"/>
  <c r="G250" i="19"/>
  <c r="F250" i="19"/>
  <c r="D250" i="19"/>
  <c r="G249" i="19"/>
  <c r="F249" i="19"/>
  <c r="O249" i="19" s="1"/>
  <c r="D249" i="19"/>
  <c r="O245" i="19"/>
  <c r="O244" i="19"/>
  <c r="O243" i="19"/>
  <c r="O242" i="19"/>
  <c r="O240" i="19"/>
  <c r="O239" i="19"/>
  <c r="O238" i="19"/>
  <c r="O237" i="19"/>
  <c r="O234" i="19"/>
  <c r="O232" i="19"/>
  <c r="C231" i="19"/>
  <c r="O231" i="19" s="1"/>
  <c r="O230" i="19"/>
  <c r="O229" i="19"/>
  <c r="O228" i="19"/>
  <c r="O226" i="19"/>
  <c r="O225" i="19"/>
  <c r="F223" i="19"/>
  <c r="O223" i="19" s="1"/>
  <c r="O222" i="19"/>
  <c r="O219" i="19"/>
  <c r="O218" i="19"/>
  <c r="O217" i="19"/>
  <c r="O216" i="19"/>
  <c r="O215" i="19"/>
  <c r="O212" i="19"/>
  <c r="O211" i="19"/>
  <c r="O210" i="19"/>
  <c r="N206" i="19"/>
  <c r="N205" i="19" s="1"/>
  <c r="M206" i="19"/>
  <c r="M205" i="19" s="1"/>
  <c r="K205" i="19"/>
  <c r="E205" i="19"/>
  <c r="O202" i="19"/>
  <c r="O201" i="19"/>
  <c r="O200" i="19"/>
  <c r="O199" i="19"/>
  <c r="O198" i="19"/>
  <c r="N197" i="19"/>
  <c r="M197" i="19"/>
  <c r="L197" i="19"/>
  <c r="K197" i="19"/>
  <c r="J197" i="19"/>
  <c r="I197" i="19"/>
  <c r="H197" i="19"/>
  <c r="G197" i="19"/>
  <c r="F197" i="19"/>
  <c r="E197" i="19"/>
  <c r="D197" i="19"/>
  <c r="O192" i="19"/>
  <c r="O191" i="19"/>
  <c r="O190" i="19"/>
  <c r="O189" i="19"/>
  <c r="O188" i="19"/>
  <c r="F187" i="19"/>
  <c r="O186" i="19"/>
  <c r="O185" i="19"/>
  <c r="N183" i="19"/>
  <c r="M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O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5" i="19"/>
  <c r="O64" i="19"/>
  <c r="O63" i="19"/>
  <c r="O61" i="19"/>
  <c r="C60" i="19"/>
  <c r="O60" i="19" s="1"/>
  <c r="O59" i="19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O29" i="19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C20" i="18" l="1"/>
  <c r="O187" i="19"/>
  <c r="F183" i="19"/>
  <c r="J48" i="19"/>
  <c r="C162" i="19"/>
  <c r="O162" i="19" s="1"/>
  <c r="F57" i="19"/>
  <c r="F56" i="19" s="1"/>
  <c r="C57" i="19"/>
  <c r="L57" i="19"/>
  <c r="L56" i="19" s="1"/>
  <c r="C174" i="19"/>
  <c r="N48" i="19"/>
  <c r="K12" i="19"/>
  <c r="E89" i="19"/>
  <c r="D162" i="19"/>
  <c r="O184" i="19"/>
  <c r="C31" i="15"/>
  <c r="C57" i="15" s="1"/>
  <c r="C206" i="19"/>
  <c r="C205" i="19" s="1"/>
  <c r="O169" i="19"/>
  <c r="K89" i="19"/>
  <c r="H115" i="19"/>
  <c r="O149" i="19"/>
  <c r="C148" i="19"/>
  <c r="O176" i="19"/>
  <c r="M12" i="19"/>
  <c r="O127" i="19"/>
  <c r="G205" i="19"/>
  <c r="O207" i="19"/>
  <c r="O206" i="19" s="1"/>
  <c r="F206" i="19"/>
  <c r="F205" i="19" s="1"/>
  <c r="C48" i="19"/>
  <c r="O154" i="19"/>
  <c r="O102" i="19"/>
  <c r="M115" i="19"/>
  <c r="F115" i="19"/>
  <c r="J115" i="19"/>
  <c r="C140" i="19"/>
  <c r="G14" i="19"/>
  <c r="G12" i="19" s="1"/>
  <c r="C197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O183" i="19"/>
  <c r="N89" i="19"/>
  <c r="O118" i="19"/>
  <c r="E115" i="19"/>
  <c r="O140" i="19"/>
  <c r="O49" i="19"/>
  <c r="H146" i="19"/>
  <c r="N146" i="19"/>
  <c r="O174" i="19"/>
  <c r="N12" i="19"/>
  <c r="K115" i="19"/>
  <c r="O250" i="19"/>
  <c r="O156" i="19"/>
  <c r="G146" i="19"/>
  <c r="J146" i="19"/>
  <c r="O163" i="19"/>
  <c r="O197" i="19"/>
  <c r="D115" i="19"/>
  <c r="O152" i="19"/>
  <c r="C41" i="19"/>
  <c r="O41" i="19" s="1"/>
  <c r="I89" i="19"/>
  <c r="O117" i="19"/>
  <c r="D205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2" i="19"/>
  <c r="O252" i="19" s="1"/>
  <c r="O254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L90" i="19"/>
  <c r="C159" i="19"/>
  <c r="O159" i="19" s="1"/>
  <c r="D146" i="19" l="1"/>
  <c r="I57" i="19"/>
  <c r="I56" i="19" s="1"/>
  <c r="I251" i="19" s="1"/>
  <c r="O205" i="19"/>
  <c r="O48" i="19"/>
  <c r="G251" i="19"/>
  <c r="H251" i="19"/>
  <c r="J251" i="19"/>
  <c r="K251" i="19"/>
  <c r="F146" i="19"/>
  <c r="F251" i="19" s="1"/>
  <c r="N251" i="19"/>
  <c r="M251" i="19"/>
  <c r="E251" i="19"/>
  <c r="D251" i="19"/>
  <c r="O148" i="19"/>
  <c r="C146" i="19"/>
  <c r="C56" i="19"/>
  <c r="O14" i="19"/>
  <c r="C12" i="19"/>
  <c r="L115" i="19"/>
  <c r="O115" i="19" s="1"/>
  <c r="O123" i="19"/>
  <c r="L89" i="19"/>
  <c r="O89" i="19" s="1"/>
  <c r="O90" i="19"/>
  <c r="O57" i="19" l="1"/>
  <c r="O56" i="19"/>
  <c r="O146" i="19"/>
  <c r="O12" i="19"/>
  <c r="C251" i="19"/>
  <c r="L251" i="19"/>
  <c r="O251" i="19" l="1"/>
</calcChain>
</file>

<file path=xl/sharedStrings.xml><?xml version="1.0" encoding="utf-8"?>
<sst xmlns="http://schemas.openxmlformats.org/spreadsheetml/2006/main" count="702" uniqueCount="592">
  <si>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</si>
  <si>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</si>
  <si>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</si>
  <si>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</si>
  <si>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</si>
  <si>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</si>
  <si>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</si>
  <si>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</si>
  <si>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</si>
  <si>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</si>
  <si>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</si>
  <si>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</si>
  <si>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</si>
  <si>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</si>
  <si>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</si>
  <si>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</si>
  <si>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</si>
  <si>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</si>
  <si>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</si>
  <si>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</si>
  <si>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</si>
  <si>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</si>
  <si>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</si>
  <si>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</si>
  <si>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</si>
  <si>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</si>
  <si>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</si>
  <si>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</si>
  <si>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</si>
  <si>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</si>
  <si>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</si>
  <si>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</si>
  <si>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</si>
  <si>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</si>
  <si>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</si>
  <si>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</si>
  <si>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</si>
  <si>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</si>
  <si>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</si>
  <si>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</si>
  <si>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</si>
  <si>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</si>
  <si>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</si>
  <si>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</si>
  <si>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</si>
  <si>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</si>
  <si>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</si>
  <si>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</si>
  <si>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</si>
  <si>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</si>
  <si>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</si>
  <si>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</si>
  <si>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</si>
  <si>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</si>
  <si>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</si>
  <si>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</si>
  <si>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</si>
  <si>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</si>
  <si>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</si>
  <si>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</si>
  <si>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</si>
  <si>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</si>
  <si>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</si>
  <si>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</si>
  <si>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</si>
  <si>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</si>
  <si>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</si>
  <si>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</si>
  <si>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</si>
  <si>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</si>
  <si>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</si>
  <si>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</si>
  <si>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</si>
  <si>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</si>
  <si>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</si>
  <si>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</si>
  <si>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</si>
  <si>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</si>
  <si>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</si>
  <si>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</si>
  <si>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</si>
  <si>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</si>
  <si>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</si>
  <si>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</si>
  <si>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</si>
  <si>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</si>
  <si>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</si>
  <si>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</si>
  <si>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</si>
  <si>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</si>
  <si>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</si>
  <si>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</si>
  <si>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</si>
  <si>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</si>
  <si>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</si>
  <si>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</si>
  <si>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</si>
  <si>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</si>
  <si>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</si>
  <si>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</si>
  <si>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</si>
  <si>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</si>
  <si>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</si>
  <si>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</si>
  <si>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</si>
  <si>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</si>
  <si>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</si>
  <si>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</si>
  <si>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</si>
  <si>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</si>
  <si>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</si>
  <si>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</si>
  <si>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</si>
  <si>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</si>
  <si>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</si>
  <si>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</si>
  <si>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</si>
  <si>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</si>
  <si>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</si>
  <si>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</si>
  <si>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</si>
  <si>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</si>
  <si>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</si>
  <si>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</si>
  <si>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</si>
  <si>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</si>
  <si>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</si>
  <si>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</si>
  <si>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</si>
  <si>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</si>
  <si>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</si>
  <si>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</si>
  <si>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</si>
  <si>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</si>
  <si>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</si>
  <si>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</si>
  <si>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</si>
  <si>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</si>
  <si>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</si>
  <si>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</si>
  <si>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</si>
  <si>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</si>
  <si>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</si>
  <si>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</si>
  <si>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</si>
  <si>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</si>
  <si>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</si>
  <si>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</si>
  <si>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</si>
  <si>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</si>
  <si>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</si>
  <si>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</si>
  <si>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</si>
  <si>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</si>
  <si>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</si>
  <si>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</si>
  <si>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</si>
  <si>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</si>
  <si>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</si>
  <si>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</si>
  <si>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</si>
  <si>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</si>
  <si>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</si>
  <si>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</si>
  <si>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</si>
  <si>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</si>
  <si>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</si>
  <si>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</si>
  <si>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</si>
  <si>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</si>
  <si>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</si>
  <si>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</si>
  <si>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</si>
  <si>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</si>
  <si>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</si>
  <si>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</si>
  <si>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</si>
  <si>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</si>
  <si>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</si>
  <si>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</si>
  <si>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</si>
  <si>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</si>
  <si>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</si>
  <si>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</si>
  <si>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</si>
  <si>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</si>
  <si>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</si>
  <si>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</si>
  <si>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</si>
  <si>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</si>
  <si>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</si>
  <si>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</si>
  <si>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</si>
  <si>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</si>
  <si>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</si>
  <si>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</si>
  <si>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</si>
  <si>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</si>
  <si>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</si>
  <si>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</si>
  <si>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</si>
  <si>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</si>
  <si>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</si>
  <si>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</si>
  <si>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</si>
  <si>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</si>
  <si>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</si>
  <si>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</si>
  <si>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</si>
  <si>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</si>
  <si>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</si>
  <si>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</si>
  <si>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</si>
  <si>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</si>
  <si>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</si>
  <si>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</si>
  <si>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</si>
  <si>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</si>
  <si>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</si>
  <si>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</si>
  <si>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</si>
  <si>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</si>
  <si>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</si>
  <si>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</si>
  <si>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</si>
  <si>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</si>
  <si>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</si>
  <si>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</si>
  <si>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</si>
  <si>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</si>
  <si>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</si>
  <si>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</si>
  <si>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</si>
  <si>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</si>
  <si>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</si>
  <si>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</si>
  <si>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</si>
  <si>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</si>
  <si>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</si>
  <si>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</si>
  <si>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</si>
  <si>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</si>
  <si>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</si>
  <si>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</si>
  <si>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</si>
  <si>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</si>
  <si>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</si>
  <si>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</si>
  <si>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</si>
  <si>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</si>
  <si>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</si>
  <si>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</si>
  <si>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</si>
  <si>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</si>
  <si>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</si>
  <si>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</si>
  <si>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</si>
  <si>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</si>
  <si>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</si>
  <si>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</si>
  <si>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</si>
  <si>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</si>
  <si>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</si>
  <si>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</si>
  <si>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</si>
  <si>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</si>
  <si>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</si>
  <si>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</si>
  <si>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</si>
  <si>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</si>
  <si>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</si>
  <si>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</si>
  <si>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</si>
  <si>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</si>
  <si>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</si>
  <si>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</si>
  <si>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</si>
  <si>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</si>
  <si>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</si>
  <si>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</si>
  <si>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</si>
  <si>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</si>
  <si>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</si>
  <si>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</si>
  <si>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</si>
  <si>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</si>
  <si>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</si>
  <si>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</si>
  <si>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</si>
  <si>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</si>
  <si>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</si>
  <si>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</si>
  <si>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</si>
  <si>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</si>
  <si>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</si>
  <si>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</si>
  <si>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</si>
  <si>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</si>
  <si>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</si>
  <si>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</si>
  <si>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</si>
  <si>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</si>
  <si>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</si>
  <si>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</si>
  <si>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</si>
  <si>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</si>
  <si>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</si>
  <si>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</si>
  <si>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</si>
  <si>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</si>
  <si>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</si>
  <si>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</si>
  <si>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</si>
  <si>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</si>
  <si>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</si>
  <si>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</si>
  <si>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</si>
  <si>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</si>
  <si>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</si>
  <si>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</si>
  <si>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</si>
  <si>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</si>
  <si>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</si>
  <si>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</si>
  <si>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</si>
  <si>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</si>
  <si>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</si>
  <si>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</si>
  <si>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</si>
  <si>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</si>
  <si>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</si>
  <si>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</si>
  <si>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</si>
  <si>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</si>
  <si>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</si>
  <si>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</si>
  <si>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</si>
  <si>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</si>
  <si>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</si>
  <si>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</si>
  <si>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</si>
  <si>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</si>
  <si>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</si>
  <si>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</si>
  <si>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</si>
  <si>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</si>
  <si>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</si>
  <si>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</si>
  <si>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</si>
  <si>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</si>
  <si>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</si>
  <si>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</si>
  <si>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</si>
  <si>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</si>
  <si>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</si>
  <si>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</si>
  <si>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</si>
  <si>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</si>
  <si>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</si>
  <si>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</si>
  <si>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</si>
  <si>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</si>
  <si>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</si>
  <si>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</si>
  <si>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</si>
  <si>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</si>
  <si>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</si>
  <si>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</si>
  <si>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</si>
  <si>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</si>
  <si>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</si>
  <si>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</si>
  <si>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</si>
  <si>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</si>
  <si>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</si>
  <si>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</si>
  <si>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</si>
  <si>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</si>
  <si>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</si>
  <si>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</si>
  <si>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</si>
  <si>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</si>
  <si>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</si>
  <si>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</si>
  <si>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</si>
  <si>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</si>
  <si>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</si>
  <si>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</si>
  <si>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</si>
  <si>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</si>
  <si>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</si>
  <si>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</si>
  <si>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</si>
  <si>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</si>
  <si>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</si>
  <si>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</si>
  <si>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</si>
  <si>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</si>
  <si>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</si>
  <si>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</si>
  <si>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</si>
  <si>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</si>
  <si>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</si>
  <si>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</si>
  <si>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</si>
  <si>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</si>
  <si>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</si>
  <si>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</si>
  <si>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</si>
  <si>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</si>
  <si>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</si>
  <si>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</si>
  <si>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</si>
  <si>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</si>
  <si>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</si>
  <si>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</si>
  <si>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</si>
  <si>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</si>
  <si>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</si>
  <si>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</si>
  <si>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</si>
  <si>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</si>
  <si>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</si>
  <si>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</si>
  <si>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</si>
  <si>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</si>
  <si>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</si>
  <si>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</si>
  <si>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</si>
  <si>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</si>
  <si>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</si>
  <si>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</si>
  <si>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</si>
  <si>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</si>
  <si>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</si>
  <si>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</si>
  <si>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</si>
  <si>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</si>
  <si>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</si>
  <si>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</si>
  <si>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</si>
  <si>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</si>
  <si>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</si>
  <si>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</si>
  <si>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</si>
  <si>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</si>
  <si>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</si>
  <si>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</si>
  <si>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</si>
  <si>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</si>
  <si>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</si>
  <si>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</si>
  <si>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</si>
  <si>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</si>
  <si>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</si>
  <si>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</si>
  <si>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</si>
  <si>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</si>
  <si>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</si>
  <si>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</si>
  <si>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</si>
  <si>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</si>
  <si>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</si>
  <si>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</si>
  <si>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</si>
  <si>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</si>
  <si>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</si>
  <si>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</si>
  <si>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</si>
  <si>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</si>
  <si>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</si>
  <si>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</si>
  <si>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</si>
  <si>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</si>
  <si>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</si>
  <si>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</si>
  <si>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</si>
  <si>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</si>
  <si>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</si>
  <si>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</si>
  <si>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</si>
  <si>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</si>
  <si>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</si>
  <si>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</si>
  <si>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</si>
  <si>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</si>
  <si>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</si>
  <si>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</si>
  <si>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</si>
  <si>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</si>
  <si>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</si>
  <si>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</si>
  <si>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</si>
  <si>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</si>
  <si>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</si>
  <si>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</si>
  <si>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</si>
  <si>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</si>
  <si>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</si>
  <si>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</si>
  <si>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</si>
  <si>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</si>
  <si>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</si>
  <si>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</si>
  <si>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</si>
  <si>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</si>
  <si>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</si>
  <si>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</si>
  <si>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</si>
  <si>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</si>
  <si>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</si>
  <si>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</si>
  <si>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</si>
  <si>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</si>
  <si>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</si>
  <si>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</si>
  <si>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</si>
  <si>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</si>
  <si>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</si>
  <si>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</si>
  <si>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</si>
  <si>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</si>
  <si>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</si>
  <si>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</si>
  <si>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</si>
  <si>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</si>
  <si>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</si>
  <si>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</si>
  <si>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</si>
  <si>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</si>
  <si>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</si>
  <si>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</si>
  <si>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</si>
  <si>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</si>
  <si>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</si>
  <si>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</si>
  <si>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</si>
  <si>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</si>
  <si>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</si>
  <si>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</si>
  <si>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</si>
  <si>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</si>
  <si>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</si>
  <si>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</si>
  <si>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</si>
  <si>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</si>
  <si>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</si>
  <si>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</si>
  <si>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</si>
  <si>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</si>
  <si>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</si>
  <si>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</si>
  <si>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</si>
  <si>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</si>
  <si>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</si>
  <si>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</si>
  <si>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</si>
  <si>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</si>
  <si>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</si>
  <si>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</si>
  <si>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</si>
  <si>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</si>
  <si>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</si>
  <si>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</si>
  <si>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</si>
  <si>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</si>
  <si>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</si>
  <si>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</si>
  <si>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</si>
  <si>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</si>
  <si>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</si>
  <si>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</si>
  <si>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</si>
  <si>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</si>
  <si>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</si>
  <si>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</si>
  <si>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</si>
  <si>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</si>
  <si>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</si>
  <si>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</si>
  <si>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</si>
  <si>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</si>
  <si>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</si>
  <si>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</si>
  <si>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</si>
  <si>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</si>
  <si>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                                     (2024 m. gruodžio 19 d. sprendimo Nr. T2-</t>
  </si>
  <si>
    <t xml:space="preserve">                                                             (2024 m. gruodžio 19 d. sprendimo Nr. T2-</t>
  </si>
  <si>
    <t xml:space="preserve">                                        (2024 m. gruodžio 19 d. sprendimo Nr. T2-</t>
  </si>
  <si>
    <t>(2024 m. gruodžio 19 d. sprendimo Nr. T2-    redakcija)</t>
  </si>
  <si>
    <t>40.13.</t>
  </si>
  <si>
    <t>projektui "Ankstyvojo ugdymo užtikrinimas vaikams iš socialinę riziką patiriančių šeimų"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</si>
</sst>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1" fillId="0" borderId="1" xfId="0" applyFont="1" applyBorder="1" applyAlignment="1">
      <alignment vertical="center"/>
    </xf>
    <xf numFmtId="0" fontId="24" fillId="0" borderId="0" xfId="0" applyFont="1"/>
    <xf numFmtId="0" fontId="22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workbookViewId="0">
      <selection activeCell="E15" sqref="E15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6" t="s">
        <v>587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22" t="s">
        <v>499</v>
      </c>
      <c r="B7" s="122"/>
      <c r="C7" s="122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112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581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2337883</v>
      </c>
    </row>
    <row r="21" spans="1:3" ht="17.25" customHeight="1" x14ac:dyDescent="0.25">
      <c r="A21" s="21" t="s">
        <v>42</v>
      </c>
      <c r="B21" s="22" t="s">
        <v>225</v>
      </c>
      <c r="C21" s="23">
        <f>794976+110000</f>
        <v>904976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23">
        <f>145494+13000+1000+621+2000+3000-7300</f>
        <v>157815</v>
      </c>
    </row>
    <row r="28" spans="1:3" ht="17.25" customHeight="1" x14ac:dyDescent="0.25">
      <c r="A28" s="21" t="s">
        <v>63</v>
      </c>
      <c r="B28" s="22" t="s">
        <v>256</v>
      </c>
      <c r="C28" s="23">
        <f>133956+500+60310-3770+8000-6420</f>
        <v>192576</v>
      </c>
    </row>
    <row r="29" spans="1:3" ht="17.25" customHeight="1" x14ac:dyDescent="0.25">
      <c r="A29" s="21" t="s">
        <v>64</v>
      </c>
      <c r="B29" s="84" t="s">
        <v>231</v>
      </c>
      <c r="C29" s="113">
        <f>911824+20460-90580-37588-1200</f>
        <v>802916</v>
      </c>
    </row>
    <row r="30" spans="1:3" ht="17.25" customHeight="1" x14ac:dyDescent="0.25">
      <c r="A30" s="21" t="s">
        <v>579</v>
      </c>
      <c r="B30" s="84" t="s">
        <v>580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21241810</v>
      </c>
    </row>
    <row r="32" spans="1:3" ht="17.25" customHeight="1" x14ac:dyDescent="0.25">
      <c r="A32" s="21" t="s">
        <v>67</v>
      </c>
      <c r="B32" s="22" t="s">
        <v>232</v>
      </c>
      <c r="C32" s="113">
        <f>4213604-9600+143000+1700-39000-19200+2000+25500+5000+1301-36700</f>
        <v>4287605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23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113">
        <f>156564+1025738+267039+220153+583600+9814+13052+754727+32153</f>
        <v>3062840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23">
        <f>155351+53170-40001-20400-2775-3901-5000-31283-5000</f>
        <v>100161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23">
        <f>6626+719+8640+27583+2042+12690+10797+2138+14091+3132+12253+2664</f>
        <v>103375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577</v>
      </c>
      <c r="B50" s="22" t="s">
        <v>578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55105751</v>
      </c>
    </row>
    <row r="58" spans="1:3" ht="42.75" customHeight="1" x14ac:dyDescent="0.25">
      <c r="B58" s="83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H30"/>
  <sheetViews>
    <sheetView topLeftCell="A7" workbookViewId="0">
      <selection activeCell="L13" sqref="L13"/>
    </sheetView>
  </sheetViews>
  <sheetFormatPr defaultColWidth="9.109375" defaultRowHeight="13.8" x14ac:dyDescent="0.25"/>
  <cols>
    <col min="1" max="1" width="6" style="85" customWidth="1"/>
    <col min="2" max="2" width="71" style="8" customWidth="1"/>
    <col min="3" max="3" width="15" style="87" customWidth="1"/>
    <col min="4" max="4" width="4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21" t="s">
        <v>588</v>
      </c>
      <c r="C3" s="121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82"/>
      <c r="C7" s="86"/>
    </row>
    <row r="8" spans="1:3" ht="31.5" customHeight="1" x14ac:dyDescent="0.3">
      <c r="A8" s="123" t="s">
        <v>489</v>
      </c>
      <c r="B8" s="123"/>
      <c r="C8" s="123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4" t="s">
        <v>245</v>
      </c>
      <c r="C11" s="20">
        <f>SUM(C12:C19)</f>
        <v>55105751</v>
      </c>
    </row>
    <row r="12" spans="1:3" ht="16.5" customHeight="1" x14ac:dyDescent="0.25">
      <c r="A12" s="21" t="s">
        <v>210</v>
      </c>
      <c r="B12" s="69" t="s">
        <v>246</v>
      </c>
      <c r="C12" s="113">
        <f>7134949+30000+270000+621-785-270000+31999+3000+200+2045-31000+3680+16000+2800+1000+1400+10000+77141+33227-100+300-7900+37600+2000-1203-98+1301+4800</f>
        <v>7352977</v>
      </c>
    </row>
    <row r="13" spans="1:3" ht="16.5" customHeight="1" x14ac:dyDescent="0.25">
      <c r="A13" s="21" t="s">
        <v>212</v>
      </c>
      <c r="B13" s="69" t="s">
        <v>247</v>
      </c>
      <c r="C13" s="23">
        <f>314000+75000+974400+583600</f>
        <v>1947000</v>
      </c>
    </row>
    <row r="14" spans="1:3" ht="16.5" customHeight="1" x14ac:dyDescent="0.25">
      <c r="A14" s="21" t="s">
        <v>214</v>
      </c>
      <c r="B14" s="69" t="s">
        <v>248</v>
      </c>
      <c r="C14" s="23">
        <f>117810-9000</f>
        <v>108810</v>
      </c>
    </row>
    <row r="15" spans="1:3" ht="16.5" customHeight="1" x14ac:dyDescent="0.25">
      <c r="A15" s="21" t="s">
        <v>216</v>
      </c>
      <c r="B15" s="69" t="s">
        <v>249</v>
      </c>
      <c r="C15" s="23">
        <f>3155600+1816900+320000+135000+320600+754727+25500+4500</f>
        <v>6532827</v>
      </c>
    </row>
    <row r="16" spans="1:3" ht="16.5" customHeight="1" x14ac:dyDescent="0.25">
      <c r="A16" s="21" t="s">
        <v>217</v>
      </c>
      <c r="B16" s="69" t="s">
        <v>250</v>
      </c>
      <c r="C16" s="23">
        <f>2194414+10825+4775+163000+7900-4188-28000+13427+13052-20000+110000</f>
        <v>2465205</v>
      </c>
    </row>
    <row r="17" spans="1:8" ht="16.5" customHeight="1" x14ac:dyDescent="0.25">
      <c r="A17" s="21" t="s">
        <v>218</v>
      </c>
      <c r="B17" s="69" t="s">
        <v>251</v>
      </c>
      <c r="C17" s="23">
        <f>4084532+13000+1000-2830+2000+3000+8000+1725+15600+3000+8000+8000+12000+2300+3145-1000</f>
        <v>4161472</v>
      </c>
    </row>
    <row r="18" spans="1:8" ht="16.5" customHeight="1" x14ac:dyDescent="0.25">
      <c r="A18" s="21" t="s">
        <v>220</v>
      </c>
      <c r="B18" s="69" t="s">
        <v>252</v>
      </c>
      <c r="C18" s="113">
        <f>20545804+10559+40334+8640+20460+6749-7900+270000+418024+60310+220153+11000+80661-76400+170900+196000+4890+20000+310-60208-6800+1000+32153-1200+2500+4700+25000</f>
        <v>21997639</v>
      </c>
    </row>
    <row r="19" spans="1:8" ht="16.5" customHeight="1" x14ac:dyDescent="0.25">
      <c r="A19" s="21" t="s">
        <v>222</v>
      </c>
      <c r="B19" s="69" t="s">
        <v>269</v>
      </c>
      <c r="C19" s="113">
        <f>10107124+100000+445+53170+719+545+4444+6750+50000+27583-39216+2042+12690+240784+140000+13200+6300-2045-3770-90580+1700+24000-39000-19100+9814+3132+12253+2664+12800+14500-4500-8300+11000-30080-4902-4500-3145+5000-4800-36700-4440-150000+59240+63000</f>
        <v>10539821</v>
      </c>
    </row>
    <row r="20" spans="1:8" s="4" customFormat="1" ht="16.5" customHeight="1" x14ac:dyDescent="0.25">
      <c r="A20" s="18" t="s">
        <v>48</v>
      </c>
      <c r="B20" s="94" t="s">
        <v>490</v>
      </c>
      <c r="C20" s="20">
        <f>SUM(C21:C28)</f>
        <v>55105751</v>
      </c>
    </row>
    <row r="21" spans="1:8" ht="16.5" customHeight="1" x14ac:dyDescent="0.25">
      <c r="A21" s="21" t="s">
        <v>42</v>
      </c>
      <c r="B21" s="22" t="s">
        <v>491</v>
      </c>
      <c r="C21" s="23">
        <f>29236038+50000+650000-31000+211000+12000+33227-27+110000</f>
        <v>30271238</v>
      </c>
    </row>
    <row r="22" spans="1:8" ht="31.2" x14ac:dyDescent="0.25">
      <c r="A22" s="21" t="s">
        <v>43</v>
      </c>
      <c r="B22" s="22" t="s">
        <v>492</v>
      </c>
      <c r="C22" s="113">
        <f>4213604-9600+143000+1700-39000-19200+2000+25500+5000+1301-36700</f>
        <v>4287605</v>
      </c>
    </row>
    <row r="23" spans="1:8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8" ht="16.5" customHeight="1" x14ac:dyDescent="0.25">
      <c r="A24" s="21" t="s">
        <v>45</v>
      </c>
      <c r="B24" s="22" t="s">
        <v>494</v>
      </c>
      <c r="C24" s="113">
        <f>156564+1025738+267039+220153+583600+9814+13052+754727+32153</f>
        <v>3062840</v>
      </c>
    </row>
    <row r="25" spans="1:8" ht="16.5" customHeight="1" x14ac:dyDescent="0.25">
      <c r="A25" s="21" t="s">
        <v>46</v>
      </c>
      <c r="B25" s="22" t="s">
        <v>495</v>
      </c>
      <c r="C25" s="23">
        <f>808457+53170+719+545+4444+6750+8640+10825+4775+27583+6749-40001+2042+12690+163000+96950+13400+6300-28000+11000+80661+3132+12253+2664+13100-31283-5000</f>
        <v>1245565</v>
      </c>
    </row>
    <row r="26" spans="1:8" ht="32.25" customHeight="1" x14ac:dyDescent="0.25">
      <c r="A26" s="21" t="s">
        <v>47</v>
      </c>
      <c r="B26" s="22" t="s">
        <v>496</v>
      </c>
      <c r="C26" s="113">
        <f>2701170+20460+13000+1000+621+2000+60310-3770-90580+3000+8000-51308-1200</f>
        <v>2662703</v>
      </c>
      <c r="H26" s="119"/>
    </row>
    <row r="27" spans="1:8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8" ht="15.6" x14ac:dyDescent="0.25">
      <c r="A28" s="21" t="s">
        <v>63</v>
      </c>
      <c r="B28" s="22" t="s">
        <v>498</v>
      </c>
      <c r="C28" s="23">
        <f>1816900</f>
        <v>1816900</v>
      </c>
    </row>
    <row r="29" spans="1:8" ht="45.75" customHeight="1" x14ac:dyDescent="0.3">
      <c r="B29" s="16" t="s">
        <v>387</v>
      </c>
      <c r="C29" s="88"/>
    </row>
    <row r="30" spans="1:8" ht="15.6" x14ac:dyDescent="0.25">
      <c r="B30" s="68"/>
      <c r="C30" s="8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U259"/>
  <sheetViews>
    <sheetView tabSelected="1" workbookViewId="0">
      <pane ySplit="10" topLeftCell="A11" activePane="bottomLeft" state="frozen"/>
      <selection pane="bottomLeft" activeCell="L259" sqref="L259"/>
    </sheetView>
  </sheetViews>
  <sheetFormatPr defaultColWidth="9.109375" defaultRowHeight="15" customHeight="1" x14ac:dyDescent="0.25"/>
  <cols>
    <col min="1" max="1" width="6.33203125" style="74" customWidth="1"/>
    <col min="2" max="2" width="57.109375" style="75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62" customWidth="1"/>
    <col min="17" max="17" width="10.44140625" style="62" customWidth="1"/>
    <col min="18" max="18" width="10.109375" style="15" bestFit="1" customWidth="1"/>
    <col min="19" max="16384" width="9.109375" style="15"/>
  </cols>
  <sheetData>
    <row r="1" spans="1:18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P1" s="17"/>
      <c r="Q1" s="17"/>
    </row>
    <row r="2" spans="1:18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  <c r="Q2" s="17"/>
    </row>
    <row r="3" spans="1:18" s="2" customFormat="1" ht="15" customHeight="1" x14ac:dyDescent="0.3">
      <c r="A3" s="41"/>
      <c r="B3" s="32"/>
      <c r="C3" s="1"/>
      <c r="F3" s="1"/>
      <c r="I3" s="2" t="s">
        <v>438</v>
      </c>
      <c r="J3" s="2" t="s">
        <v>438</v>
      </c>
      <c r="P3" s="17"/>
      <c r="Q3" s="17"/>
    </row>
    <row r="4" spans="1:18" s="2" customFormat="1" ht="15" customHeight="1" x14ac:dyDescent="0.3">
      <c r="A4" s="41"/>
      <c r="B4" s="32"/>
      <c r="C4" s="1"/>
      <c r="D4" s="1"/>
      <c r="F4" s="1"/>
      <c r="G4" s="1"/>
      <c r="I4" s="2" t="s">
        <v>589</v>
      </c>
      <c r="J4" s="2" t="s">
        <v>439</v>
      </c>
      <c r="K4" s="2" t="s">
        <v>352</v>
      </c>
      <c r="M4" s="1"/>
      <c r="P4" s="17"/>
      <c r="Q4" s="17"/>
    </row>
    <row r="5" spans="1:18" s="2" customFormat="1" ht="15" customHeight="1" x14ac:dyDescent="0.3">
      <c r="A5" s="41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  <c r="Q5" s="17"/>
    </row>
    <row r="6" spans="1:18" s="2" customFormat="1" ht="12.75" customHeight="1" x14ac:dyDescent="0.3">
      <c r="A6" s="41"/>
      <c r="B6" s="32"/>
      <c r="C6" s="1"/>
      <c r="F6" s="1"/>
      <c r="I6" s="1"/>
      <c r="J6" s="1"/>
      <c r="L6" s="1"/>
      <c r="P6" s="17"/>
      <c r="Q6" s="17"/>
    </row>
    <row r="7" spans="1:18" s="2" customFormat="1" ht="15" customHeight="1" x14ac:dyDescent="0.3">
      <c r="A7" s="41"/>
      <c r="B7" s="122" t="s">
        <v>440</v>
      </c>
      <c r="C7" s="122"/>
      <c r="D7" s="122"/>
      <c r="E7" s="122"/>
      <c r="F7" s="122"/>
      <c r="G7" s="122"/>
      <c r="H7" s="122"/>
      <c r="I7" s="122"/>
      <c r="J7" s="122"/>
      <c r="K7" s="122"/>
      <c r="P7" s="17"/>
      <c r="Q7" s="17"/>
    </row>
    <row r="8" spans="1:18" s="2" customFormat="1" ht="11.25" customHeight="1" x14ac:dyDescent="0.3">
      <c r="A8" s="41"/>
      <c r="B8" s="70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  <c r="Q8" s="17"/>
    </row>
    <row r="9" spans="1:18" s="71" customFormat="1" ht="71.25" customHeight="1" x14ac:dyDescent="0.25">
      <c r="A9" s="80" t="s">
        <v>19</v>
      </c>
      <c r="B9" s="80" t="s">
        <v>61</v>
      </c>
      <c r="C9" s="134" t="s">
        <v>20</v>
      </c>
      <c r="D9" s="134"/>
      <c r="E9" s="134"/>
      <c r="F9" s="134" t="s">
        <v>262</v>
      </c>
      <c r="G9" s="134"/>
      <c r="H9" s="134"/>
      <c r="I9" s="134" t="s">
        <v>306</v>
      </c>
      <c r="J9" s="134"/>
      <c r="K9" s="134"/>
      <c r="L9" s="134" t="s">
        <v>263</v>
      </c>
      <c r="M9" s="134"/>
      <c r="N9" s="134"/>
      <c r="O9" s="80" t="s">
        <v>21</v>
      </c>
      <c r="P9" s="56"/>
      <c r="Q9" s="56"/>
    </row>
    <row r="10" spans="1:18" s="4" customFormat="1" ht="14.25" customHeight="1" x14ac:dyDescent="0.25">
      <c r="A10" s="3">
        <v>1</v>
      </c>
      <c r="B10" s="72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7"/>
      <c r="Q10" s="57"/>
    </row>
    <row r="11" spans="1:18" s="5" customFormat="1" ht="15" customHeight="1" x14ac:dyDescent="0.3">
      <c r="A11" s="27"/>
      <c r="B11" s="124" t="s">
        <v>199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P11" s="17"/>
      <c r="Q11" s="17"/>
    </row>
    <row r="12" spans="1:18" s="6" customFormat="1" ht="15.75" customHeight="1" x14ac:dyDescent="0.25">
      <c r="A12" s="27"/>
      <c r="B12" s="42" t="s">
        <v>27</v>
      </c>
      <c r="C12" s="38">
        <f t="shared" ref="C12:N12" si="0">C13+C14+C33+C36</f>
        <v>5568278</v>
      </c>
      <c r="D12" s="38">
        <f t="shared" si="0"/>
        <v>4160950</v>
      </c>
      <c r="E12" s="38">
        <f t="shared" si="0"/>
        <v>0</v>
      </c>
      <c r="F12" s="38">
        <f t="shared" si="0"/>
        <v>557008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114027</v>
      </c>
      <c r="M12" s="38">
        <f t="shared" si="0"/>
        <v>15000</v>
      </c>
      <c r="N12" s="38">
        <f t="shared" si="0"/>
        <v>0</v>
      </c>
      <c r="O12" s="27">
        <f>C12+F12+I12+L12</f>
        <v>6239313</v>
      </c>
      <c r="P12" s="58"/>
      <c r="Q12" s="58"/>
      <c r="R12" s="58"/>
    </row>
    <row r="13" spans="1:18" s="5" customFormat="1" ht="15.75" customHeight="1" x14ac:dyDescent="0.3">
      <c r="A13" s="27" t="s">
        <v>49</v>
      </c>
      <c r="B13" s="42" t="s">
        <v>171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17"/>
      <c r="Q13" s="17"/>
    </row>
    <row r="14" spans="1:18" s="5" customFormat="1" ht="16.5" customHeight="1" x14ac:dyDescent="0.3">
      <c r="A14" s="27" t="s">
        <v>48</v>
      </c>
      <c r="B14" s="42" t="s">
        <v>521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557008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114027</v>
      </c>
      <c r="M14" s="38">
        <f t="shared" si="2"/>
        <v>15000</v>
      </c>
      <c r="N14" s="38">
        <f t="shared" si="2"/>
        <v>0</v>
      </c>
      <c r="O14" s="27">
        <f t="shared" si="1"/>
        <v>5604613</v>
      </c>
      <c r="P14" s="17"/>
      <c r="Q14" s="17"/>
    </row>
    <row r="15" spans="1:18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  <c r="Q15" s="17"/>
    </row>
    <row r="16" spans="1:18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  <c r="Q16" s="17"/>
    </row>
    <row r="17" spans="1:17" s="2" customFormat="1" ht="15.75" customHeight="1" x14ac:dyDescent="0.3">
      <c r="A17" s="28" t="s">
        <v>44</v>
      </c>
      <c r="B17" s="33" t="s">
        <v>443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17"/>
      <c r="Q17" s="17"/>
    </row>
    <row r="18" spans="1:17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116">
        <f>520454-2000-600-4600+3000-100+2000+4726+74+1301</f>
        <v>524255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524255</v>
      </c>
      <c r="P18" s="17"/>
      <c r="Q18" s="17"/>
    </row>
    <row r="19" spans="1:17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27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  <c r="Q19" s="17"/>
    </row>
    <row r="20" spans="1:17" s="2" customFormat="1" ht="15.75" customHeight="1" x14ac:dyDescent="0.3">
      <c r="A20" s="30" t="s">
        <v>47</v>
      </c>
      <c r="B20" s="33" t="s">
        <v>89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17"/>
      <c r="Q20" s="17"/>
    </row>
    <row r="21" spans="1:17" s="2" customFormat="1" ht="15.75" customHeight="1" x14ac:dyDescent="0.3">
      <c r="A21" s="30" t="s">
        <v>62</v>
      </c>
      <c r="B21" s="33" t="s">
        <v>95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  <c r="Q21" s="17"/>
    </row>
    <row r="22" spans="1:17" s="2" customFormat="1" ht="15.75" customHeight="1" x14ac:dyDescent="0.3">
      <c r="A22" s="30" t="s">
        <v>63</v>
      </c>
      <c r="B22" s="33" t="s">
        <v>96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17"/>
      <c r="Q22" s="17"/>
    </row>
    <row r="23" spans="1:17" s="1" customFormat="1" ht="15.75" customHeight="1" x14ac:dyDescent="0.3">
      <c r="A23" s="30" t="s">
        <v>64</v>
      </c>
      <c r="B23" s="33" t="s">
        <v>97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17"/>
      <c r="Q23" s="17"/>
    </row>
    <row r="24" spans="1:17" s="2" customFormat="1" ht="15.75" customHeight="1" x14ac:dyDescent="0.3">
      <c r="A24" s="30" t="s">
        <v>65</v>
      </c>
      <c r="B24" s="33" t="s">
        <v>98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17"/>
      <c r="Q24" s="17"/>
    </row>
    <row r="25" spans="1:17" s="2" customFormat="1" ht="15.75" customHeight="1" x14ac:dyDescent="0.3">
      <c r="A25" s="30" t="s">
        <v>66</v>
      </c>
      <c r="B25" s="33" t="s">
        <v>99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17"/>
      <c r="Q25" s="17"/>
    </row>
    <row r="26" spans="1:17" s="2" customFormat="1" ht="15.75" customHeight="1" x14ac:dyDescent="0.3">
      <c r="A26" s="30" t="s">
        <v>86</v>
      </c>
      <c r="B26" s="33" t="s">
        <v>100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f>3220-2900</f>
        <v>320</v>
      </c>
      <c r="M26" s="29"/>
      <c r="N26" s="29"/>
      <c r="O26" s="27">
        <f t="shared" si="1"/>
        <v>101220</v>
      </c>
      <c r="P26" s="17"/>
      <c r="Q26" s="17"/>
    </row>
    <row r="27" spans="1:17" s="2" customFormat="1" ht="15.75" customHeight="1" x14ac:dyDescent="0.3">
      <c r="A27" s="30" t="s">
        <v>87</v>
      </c>
      <c r="B27" s="33" t="s">
        <v>101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17"/>
      <c r="Q27" s="17"/>
    </row>
    <row r="28" spans="1:17" s="2" customFormat="1" ht="15.75" customHeight="1" x14ac:dyDescent="0.3">
      <c r="A28" s="30" t="s">
        <v>88</v>
      </c>
      <c r="B28" s="33" t="s">
        <v>102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17"/>
      <c r="Q28" s="17"/>
    </row>
    <row r="29" spans="1:17" s="2" customFormat="1" ht="15.75" customHeight="1" x14ac:dyDescent="0.3">
      <c r="A29" s="30" t="s">
        <v>106</v>
      </c>
      <c r="B29" s="33" t="s">
        <v>103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9340+2230-5000</f>
        <v>6570</v>
      </c>
      <c r="M29" s="29"/>
      <c r="N29" s="29"/>
      <c r="O29" s="27">
        <f t="shared" si="1"/>
        <v>141370</v>
      </c>
      <c r="P29" s="17"/>
      <c r="Q29" s="17"/>
    </row>
    <row r="30" spans="1:17" s="2" customFormat="1" ht="15.75" customHeight="1" x14ac:dyDescent="0.3">
      <c r="A30" s="30" t="s">
        <v>107</v>
      </c>
      <c r="B30" s="33" t="s">
        <v>104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17"/>
      <c r="Q30" s="17"/>
    </row>
    <row r="31" spans="1:17" s="2" customFormat="1" ht="15.75" customHeight="1" x14ac:dyDescent="0.3">
      <c r="A31" s="30" t="s">
        <v>108</v>
      </c>
      <c r="B31" s="60" t="s">
        <v>105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17"/>
      <c r="Q31" s="17"/>
    </row>
    <row r="32" spans="1:17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  <c r="Q32" s="17"/>
    </row>
    <row r="33" spans="1:17" s="9" customFormat="1" ht="15" customHeight="1" x14ac:dyDescent="0.25">
      <c r="A33" s="27" t="s">
        <v>50</v>
      </c>
      <c r="B33" s="42" t="s">
        <v>23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</row>
    <row r="34" spans="1:17" s="7" customFormat="1" ht="15.75" customHeight="1" x14ac:dyDescent="0.25">
      <c r="A34" s="44" t="s">
        <v>67</v>
      </c>
      <c r="B34" s="45" t="s">
        <v>354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</row>
    <row r="35" spans="1:17" s="7" customFormat="1" ht="44.25" customHeight="1" x14ac:dyDescent="0.25">
      <c r="A35" s="44" t="s">
        <v>233</v>
      </c>
      <c r="B35" s="45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</row>
    <row r="36" spans="1:17" s="9" customFormat="1" ht="15.75" customHeight="1" x14ac:dyDescent="0.25">
      <c r="A36" s="27" t="s">
        <v>51</v>
      </c>
      <c r="B36" s="42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8"/>
      <c r="Q36" s="58"/>
    </row>
    <row r="37" spans="1:17" s="7" customFormat="1" ht="15.75" customHeight="1" x14ac:dyDescent="0.25">
      <c r="A37" s="44" t="s">
        <v>38</v>
      </c>
      <c r="B37" s="45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</row>
    <row r="38" spans="1:17" s="7" customFormat="1" ht="45" customHeight="1" x14ac:dyDescent="0.25">
      <c r="A38" s="44" t="s">
        <v>39</v>
      </c>
      <c r="B38" s="45" t="s">
        <v>393</v>
      </c>
      <c r="C38" s="2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8"/>
      <c r="Q38" s="58"/>
    </row>
    <row r="39" spans="1:17" s="7" customFormat="1" ht="28.5" hidden="1" customHeight="1" x14ac:dyDescent="0.25">
      <c r="A39" s="44" t="s">
        <v>355</v>
      </c>
      <c r="B39" s="45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</row>
    <row r="40" spans="1:17" s="1" customFormat="1" ht="16.5" customHeight="1" x14ac:dyDescent="0.3">
      <c r="A40" s="46"/>
      <c r="B40" s="124" t="s">
        <v>200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6"/>
      <c r="P40" s="17"/>
      <c r="Q40" s="17"/>
    </row>
    <row r="41" spans="1:17" s="7" customFormat="1" ht="15.75" customHeight="1" x14ac:dyDescent="0.25">
      <c r="A41" s="29"/>
      <c r="B41" s="42" t="s">
        <v>27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1817000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1872000</v>
      </c>
      <c r="P41" s="58"/>
      <c r="Q41" s="58"/>
    </row>
    <row r="42" spans="1:17" s="7" customFormat="1" ht="15.75" customHeight="1" x14ac:dyDescent="0.25">
      <c r="A42" s="27" t="s">
        <v>52</v>
      </c>
      <c r="B42" s="42" t="s">
        <v>34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1817000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1872000</v>
      </c>
      <c r="P42" s="58"/>
      <c r="Q42" s="58"/>
    </row>
    <row r="43" spans="1:17" s="11" customFormat="1" ht="15.75" customHeight="1" x14ac:dyDescent="0.25">
      <c r="A43" s="44" t="s">
        <v>40</v>
      </c>
      <c r="B43" s="45" t="s">
        <v>150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</row>
    <row r="44" spans="1:17" s="11" customFormat="1" ht="15.75" customHeight="1" x14ac:dyDescent="0.25">
      <c r="A44" s="44" t="s">
        <v>41</v>
      </c>
      <c r="B44" s="45" t="s">
        <v>185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</row>
    <row r="45" spans="1:17" s="2" customFormat="1" ht="15.75" customHeight="1" x14ac:dyDescent="0.3">
      <c r="A45" s="81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  <c r="Q45" s="17"/>
    </row>
    <row r="46" spans="1:17" s="2" customFormat="1" ht="28.5" customHeight="1" x14ac:dyDescent="0.3">
      <c r="A46" s="44" t="s">
        <v>259</v>
      </c>
      <c r="B46" s="33" t="s">
        <v>395</v>
      </c>
      <c r="C46" s="29"/>
      <c r="D46" s="29"/>
      <c r="E46" s="29"/>
      <c r="F46" s="2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  <c r="Q46" s="17"/>
    </row>
    <row r="47" spans="1:17" s="2" customFormat="1" ht="32.25" customHeight="1" x14ac:dyDescent="0.3">
      <c r="A47" s="47"/>
      <c r="B47" s="124" t="s">
        <v>201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6"/>
      <c r="P47" s="17"/>
      <c r="Q47" s="17"/>
    </row>
    <row r="48" spans="1:17" s="7" customFormat="1" ht="15.75" customHeight="1" x14ac:dyDescent="0.25">
      <c r="A48" s="29"/>
      <c r="B48" s="42" t="s">
        <v>27</v>
      </c>
      <c r="C48" s="38">
        <f t="shared" ref="C48:N48" si="8">C49+C53</f>
        <v>100200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108810</v>
      </c>
      <c r="P48" s="58"/>
      <c r="Q48" s="58"/>
    </row>
    <row r="49" spans="1:21" s="2" customFormat="1" ht="15.75" customHeight="1" x14ac:dyDescent="0.3">
      <c r="A49" s="27" t="s">
        <v>53</v>
      </c>
      <c r="B49" s="42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  <c r="Q49" s="17"/>
    </row>
    <row r="50" spans="1:21" s="2" customFormat="1" ht="15.75" customHeight="1" x14ac:dyDescent="0.3">
      <c r="A50" s="44" t="s">
        <v>68</v>
      </c>
      <c r="B50" s="48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  <c r="Q50" s="17"/>
    </row>
    <row r="51" spans="1:21" s="2" customFormat="1" ht="15.75" customHeight="1" x14ac:dyDescent="0.3">
      <c r="A51" s="28" t="s">
        <v>186</v>
      </c>
      <c r="B51" s="48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  <c r="Q51" s="17"/>
    </row>
    <row r="52" spans="1:21" s="2" customFormat="1" ht="15.75" customHeight="1" x14ac:dyDescent="0.3">
      <c r="A52" s="64" t="s">
        <v>192</v>
      </c>
      <c r="B52" s="33" t="s">
        <v>193</v>
      </c>
      <c r="C52" s="2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  <c r="Q52" s="17"/>
    </row>
    <row r="53" spans="1:21" s="2" customFormat="1" ht="29.25" customHeight="1" x14ac:dyDescent="0.3">
      <c r="A53" s="27" t="s">
        <v>54</v>
      </c>
      <c r="B53" s="42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Q53" s="17"/>
      <c r="T53" s="55"/>
      <c r="U53" s="55"/>
    </row>
    <row r="54" spans="1:21" s="2" customFormat="1" ht="15.75" customHeight="1" x14ac:dyDescent="0.3">
      <c r="A54" s="44" t="s">
        <v>69</v>
      </c>
      <c r="B54" s="48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Q54" s="17"/>
      <c r="T54" s="55"/>
      <c r="U54" s="55"/>
    </row>
    <row r="55" spans="1:21" s="1" customFormat="1" ht="29.25" customHeight="1" x14ac:dyDescent="0.3">
      <c r="A55" s="46"/>
      <c r="B55" s="131" t="s">
        <v>264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P55" s="17"/>
      <c r="Q55" s="17"/>
    </row>
    <row r="56" spans="1:21" s="7" customFormat="1" ht="15.75" customHeight="1" x14ac:dyDescent="0.25">
      <c r="A56" s="29"/>
      <c r="B56" s="42" t="s">
        <v>27</v>
      </c>
      <c r="C56" s="38">
        <f t="shared" ref="C56:N56" si="12">C57+C87</f>
        <v>2656500</v>
      </c>
      <c r="D56" s="38">
        <f t="shared" si="12"/>
        <v>28345</v>
      </c>
      <c r="E56" s="38">
        <f t="shared" si="12"/>
        <v>0</v>
      </c>
      <c r="F56" s="38">
        <f t="shared" si="12"/>
        <v>1604427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6077827</v>
      </c>
      <c r="P56" s="58"/>
      <c r="Q56" s="58"/>
    </row>
    <row r="57" spans="1:21" s="7" customFormat="1" ht="15.75" customHeight="1" x14ac:dyDescent="0.25">
      <c r="A57" s="27" t="s">
        <v>55</v>
      </c>
      <c r="B57" s="42" t="s">
        <v>34</v>
      </c>
      <c r="C57" s="38">
        <f>SUM(C58:C72,C85)+C86</f>
        <v>2583500</v>
      </c>
      <c r="D57" s="38">
        <f t="shared" ref="D57:K57" si="13">SUM(D58:D72,D85)</f>
        <v>0</v>
      </c>
      <c r="E57" s="38">
        <f t="shared" si="13"/>
        <v>0</v>
      </c>
      <c r="F57" s="38">
        <f>SUM(F58:F72,F85)+F86</f>
        <v>754727</v>
      </c>
      <c r="G57" s="38">
        <f t="shared" si="13"/>
        <v>0</v>
      </c>
      <c r="H57" s="38">
        <f t="shared" si="13"/>
        <v>0</v>
      </c>
      <c r="I57" s="38">
        <f>SUM(I58:I72,I85)+I86</f>
        <v>1816900</v>
      </c>
      <c r="J57" s="38">
        <f t="shared" si="13"/>
        <v>0</v>
      </c>
      <c r="K57" s="38">
        <f t="shared" si="13"/>
        <v>0</v>
      </c>
      <c r="L57" s="38">
        <f>SUM(L58:L72,L85)+L86</f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5155127</v>
      </c>
      <c r="P57" s="58"/>
      <c r="Q57" s="58"/>
    </row>
    <row r="58" spans="1:21" s="2" customFormat="1" ht="45" customHeight="1" x14ac:dyDescent="0.3">
      <c r="A58" s="44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  <c r="Q58" s="17"/>
    </row>
    <row r="59" spans="1:21" s="11" customFormat="1" ht="15.75" customHeight="1" x14ac:dyDescent="0.25">
      <c r="A59" s="44" t="s">
        <v>71</v>
      </c>
      <c r="B59" s="45" t="s">
        <v>397</v>
      </c>
      <c r="C59" s="115">
        <f>75000+21660</f>
        <v>96660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96660</v>
      </c>
      <c r="P59" s="58"/>
      <c r="Q59" s="58"/>
    </row>
    <row r="60" spans="1:21" s="2" customFormat="1" ht="30" customHeight="1" x14ac:dyDescent="0.3">
      <c r="A60" s="44" t="s">
        <v>72</v>
      </c>
      <c r="B60" s="45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  <c r="Q60" s="17"/>
    </row>
    <row r="61" spans="1:21" s="7" customFormat="1" ht="30" customHeight="1" x14ac:dyDescent="0.25">
      <c r="A61" s="44" t="s">
        <v>110</v>
      </c>
      <c r="B61" s="45" t="s">
        <v>265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</row>
    <row r="62" spans="1:21" s="7" customFormat="1" ht="13.8" x14ac:dyDescent="0.25">
      <c r="A62" s="44" t="s">
        <v>111</v>
      </c>
      <c r="B62" s="45" t="s">
        <v>574</v>
      </c>
      <c r="C62" s="114">
        <f>480000+142000+55240</f>
        <v>677240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677240</v>
      </c>
      <c r="P62" s="58"/>
      <c r="Q62" s="58"/>
    </row>
    <row r="63" spans="1:21" s="2" customFormat="1" ht="15.75" customHeight="1" x14ac:dyDescent="0.3">
      <c r="A63" s="44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  <c r="Q63" s="17"/>
    </row>
    <row r="64" spans="1:21" s="2" customFormat="1" ht="30.75" customHeight="1" x14ac:dyDescent="0.3">
      <c r="A64" s="44" t="s">
        <v>113</v>
      </c>
      <c r="B64" s="45" t="s">
        <v>448</v>
      </c>
      <c r="C64" s="114">
        <f>100000-100000</f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0</v>
      </c>
      <c r="P64" s="17"/>
      <c r="Q64" s="17"/>
    </row>
    <row r="65" spans="1:21" s="7" customFormat="1" ht="15.75" customHeight="1" x14ac:dyDescent="0.25">
      <c r="A65" s="44" t="s">
        <v>114</v>
      </c>
      <c r="B65" s="45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</row>
    <row r="66" spans="1:21" s="11" customFormat="1" ht="29.25" customHeight="1" x14ac:dyDescent="0.25">
      <c r="A66" s="44" t="s">
        <v>115</v>
      </c>
      <c r="B66" s="45" t="s">
        <v>175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</row>
    <row r="67" spans="1:21" s="11" customFormat="1" ht="30" customHeight="1" x14ac:dyDescent="0.25">
      <c r="A67" s="44" t="s">
        <v>116</v>
      </c>
      <c r="B67" s="45" t="s">
        <v>349</v>
      </c>
      <c r="C67" s="115">
        <f>40000+10000+23100</f>
        <v>73100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73100</v>
      </c>
      <c r="P67" s="58"/>
      <c r="Q67" s="58"/>
    </row>
    <row r="68" spans="1:21" s="2" customFormat="1" ht="15.75" customHeight="1" x14ac:dyDescent="0.3">
      <c r="A68" s="44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  <c r="Q68" s="17"/>
    </row>
    <row r="69" spans="1:21" s="2" customFormat="1" ht="15.75" customHeight="1" x14ac:dyDescent="0.3">
      <c r="A69" s="44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  <c r="Q69" s="17"/>
    </row>
    <row r="70" spans="1:21" s="2" customFormat="1" ht="15.75" customHeight="1" x14ac:dyDescent="0.3">
      <c r="A70" s="44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  <c r="Q70" s="17"/>
    </row>
    <row r="71" spans="1:21" s="2" customFormat="1" ht="16.5" customHeight="1" x14ac:dyDescent="0.3">
      <c r="A71" s="44" t="s">
        <v>400</v>
      </c>
      <c r="B71" s="60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Q71" s="55"/>
      <c r="T71" s="55"/>
      <c r="U71" s="55"/>
    </row>
    <row r="72" spans="1:21" s="1" customFormat="1" ht="29.25" customHeight="1" x14ac:dyDescent="0.3">
      <c r="A72" s="29"/>
      <c r="B72" s="33" t="s">
        <v>176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  <c r="Q72" s="17"/>
    </row>
    <row r="73" spans="1:21" s="2" customFormat="1" ht="15.75" customHeight="1" x14ac:dyDescent="0.3">
      <c r="A73" s="44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  <c r="Q73" s="17"/>
    </row>
    <row r="74" spans="1:21" s="2" customFormat="1" ht="15.75" customHeight="1" x14ac:dyDescent="0.3">
      <c r="A74" s="44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  <c r="Q74" s="17"/>
    </row>
    <row r="75" spans="1:21" s="1" customFormat="1" ht="15.75" customHeight="1" x14ac:dyDescent="0.3">
      <c r="A75" s="44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  <c r="Q75" s="17"/>
    </row>
    <row r="76" spans="1:21" s="2" customFormat="1" ht="15.75" customHeight="1" x14ac:dyDescent="0.3">
      <c r="A76" s="44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  <c r="Q76" s="17"/>
    </row>
    <row r="77" spans="1:21" s="2" customFormat="1" ht="15.75" customHeight="1" x14ac:dyDescent="0.3">
      <c r="A77" s="44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  <c r="Q77" s="17"/>
    </row>
    <row r="78" spans="1:21" s="2" customFormat="1" ht="15.75" customHeight="1" x14ac:dyDescent="0.3">
      <c r="A78" s="44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  <c r="Q78" s="17"/>
    </row>
    <row r="79" spans="1:21" s="2" customFormat="1" ht="15.75" customHeight="1" x14ac:dyDescent="0.3">
      <c r="A79" s="44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  <c r="Q79" s="17"/>
    </row>
    <row r="80" spans="1:21" s="2" customFormat="1" ht="15.75" customHeight="1" x14ac:dyDescent="0.3">
      <c r="A80" s="44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  <c r="Q80" s="17"/>
    </row>
    <row r="81" spans="1:21" s="2" customFormat="1" ht="15.75" customHeight="1" x14ac:dyDescent="0.3">
      <c r="A81" s="49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  <c r="Q81" s="17"/>
    </row>
    <row r="82" spans="1:21" s="2" customFormat="1" ht="15.75" customHeight="1" x14ac:dyDescent="0.3">
      <c r="A82" s="49" t="s">
        <v>410</v>
      </c>
      <c r="B82" s="33" t="s">
        <v>1</v>
      </c>
      <c r="C82" s="29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  <c r="Q82" s="17"/>
    </row>
    <row r="83" spans="1:21" s="2" customFormat="1" ht="15.75" customHeight="1" x14ac:dyDescent="0.3">
      <c r="A83" s="44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  <c r="Q83" s="17"/>
    </row>
    <row r="84" spans="1:21" s="7" customFormat="1" ht="15.75" customHeight="1" x14ac:dyDescent="0.25">
      <c r="A84" s="44" t="s">
        <v>412</v>
      </c>
      <c r="B84" s="45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</row>
    <row r="85" spans="1:21" s="2" customFormat="1" ht="30" customHeight="1" x14ac:dyDescent="0.3">
      <c r="A85" s="44" t="s">
        <v>413</v>
      </c>
      <c r="B85" s="60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Q85" s="55"/>
      <c r="T85" s="55"/>
      <c r="U85" s="55"/>
    </row>
    <row r="86" spans="1:21" s="2" customFormat="1" ht="30" customHeight="1" x14ac:dyDescent="0.3">
      <c r="A86" s="44" t="s">
        <v>585</v>
      </c>
      <c r="B86" s="60" t="s">
        <v>583</v>
      </c>
      <c r="C86" s="29"/>
      <c r="D86" s="29"/>
      <c r="E86" s="29"/>
      <c r="F86" s="2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Q86" s="55"/>
      <c r="T86" s="55"/>
      <c r="U86" s="55"/>
    </row>
    <row r="87" spans="1:21" s="2" customFormat="1" ht="15.75" customHeight="1" x14ac:dyDescent="0.3">
      <c r="A87" s="27" t="s">
        <v>56</v>
      </c>
      <c r="B87" s="50" t="s">
        <v>118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  <c r="Q87" s="17"/>
    </row>
    <row r="88" spans="1:21" s="1" customFormat="1" ht="31.5" customHeight="1" x14ac:dyDescent="0.3">
      <c r="A88" s="46"/>
      <c r="B88" s="127" t="s">
        <v>573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7"/>
      <c r="Q88" s="17"/>
    </row>
    <row r="89" spans="1:21" s="7" customFormat="1" ht="15.75" customHeight="1" x14ac:dyDescent="0.25">
      <c r="A89" s="29"/>
      <c r="B89" s="42" t="s">
        <v>27</v>
      </c>
      <c r="C89" s="38">
        <f>C90+C97+C108+C111</f>
        <v>372139</v>
      </c>
      <c r="D89" s="38">
        <f t="shared" ref="D89:N89" si="17">D90+D97+D108+D111</f>
        <v>0</v>
      </c>
      <c r="E89" s="38">
        <f t="shared" si="17"/>
        <v>0</v>
      </c>
      <c r="F89" s="38">
        <f>F90+F97+F108+F111+F92</f>
        <v>454902</v>
      </c>
      <c r="G89" s="38">
        <f t="shared" si="17"/>
        <v>200680</v>
      </c>
      <c r="H89" s="38">
        <f t="shared" si="17"/>
        <v>0</v>
      </c>
      <c r="I89" s="38">
        <f t="shared" si="17"/>
        <v>0</v>
      </c>
      <c r="J89" s="38">
        <f t="shared" si="17"/>
        <v>0</v>
      </c>
      <c r="K89" s="38">
        <f t="shared" si="17"/>
        <v>0</v>
      </c>
      <c r="L89" s="38">
        <f t="shared" si="17"/>
        <v>1638164</v>
      </c>
      <c r="M89" s="38">
        <f t="shared" si="17"/>
        <v>0</v>
      </c>
      <c r="N89" s="38">
        <f t="shared" si="17"/>
        <v>0</v>
      </c>
      <c r="O89" s="38">
        <f>C89+F89+I89+L89</f>
        <v>2465205</v>
      </c>
      <c r="P89" s="58"/>
      <c r="Q89" s="58"/>
    </row>
    <row r="90" spans="1:21" s="7" customFormat="1" ht="30" customHeight="1" x14ac:dyDescent="0.25">
      <c r="A90" s="27" t="s">
        <v>57</v>
      </c>
      <c r="B90" s="42" t="s">
        <v>207</v>
      </c>
      <c r="C90" s="38">
        <f>SUM(C91,C94,C93,C96)</f>
        <v>0</v>
      </c>
      <c r="D90" s="38">
        <f t="shared" ref="D90:K90" si="18">SUM(D91,D94,D93,D96)</f>
        <v>0</v>
      </c>
      <c r="E90" s="38">
        <f t="shared" si="18"/>
        <v>0</v>
      </c>
      <c r="F90" s="38">
        <f t="shared" si="18"/>
        <v>0</v>
      </c>
      <c r="G90" s="38">
        <f t="shared" si="18"/>
        <v>0</v>
      </c>
      <c r="H90" s="38">
        <f t="shared" si="18"/>
        <v>0</v>
      </c>
      <c r="I90" s="38">
        <f t="shared" si="18"/>
        <v>0</v>
      </c>
      <c r="J90" s="38"/>
      <c r="K90" s="38">
        <f t="shared" si="18"/>
        <v>0</v>
      </c>
      <c r="L90" s="38">
        <f>SUM(L91:L96)</f>
        <v>289396</v>
      </c>
      <c r="M90" s="38">
        <f>SUM(M91:M96)</f>
        <v>0</v>
      </c>
      <c r="N90" s="38">
        <f>SUM(N91:N96)</f>
        <v>0</v>
      </c>
      <c r="O90" s="27">
        <f t="shared" ref="O90:O112" si="19">C90+F90+I90+L90</f>
        <v>289396</v>
      </c>
      <c r="P90" s="58"/>
      <c r="Q90" s="58"/>
    </row>
    <row r="91" spans="1:21" s="11" customFormat="1" ht="15.75" customHeight="1" x14ac:dyDescent="0.25">
      <c r="A91" s="44" t="s">
        <v>73</v>
      </c>
      <c r="B91" s="45" t="s">
        <v>178</v>
      </c>
      <c r="C91" s="37"/>
      <c r="D91" s="37"/>
      <c r="E91" s="37"/>
      <c r="F91" s="37"/>
      <c r="G91" s="37"/>
      <c r="H91" s="37"/>
      <c r="I91" s="37"/>
      <c r="J91" s="37"/>
      <c r="K91" s="37"/>
      <c r="L91" s="37">
        <f>25000+10000</f>
        <v>35000</v>
      </c>
      <c r="M91" s="37"/>
      <c r="N91" s="37"/>
      <c r="O91" s="27">
        <f t="shared" si="19"/>
        <v>35000</v>
      </c>
      <c r="P91" s="58"/>
      <c r="Q91" s="58"/>
    </row>
    <row r="92" spans="1:21" s="11" customFormat="1" ht="29.25" customHeight="1" x14ac:dyDescent="0.25">
      <c r="A92" s="51" t="s">
        <v>74</v>
      </c>
      <c r="B92" s="45" t="s">
        <v>451</v>
      </c>
      <c r="C92" s="73"/>
      <c r="D92" s="73"/>
      <c r="E92" s="73"/>
      <c r="F92" s="73">
        <f>10825+4775</f>
        <v>15600</v>
      </c>
      <c r="G92" s="73"/>
      <c r="H92" s="73"/>
      <c r="I92" s="73"/>
      <c r="J92" s="73"/>
      <c r="K92" s="73"/>
      <c r="L92" s="73">
        <f>63790+35334-2900-1500-10000</f>
        <v>84724</v>
      </c>
      <c r="M92" s="73"/>
      <c r="N92" s="73"/>
      <c r="O92" s="27">
        <f t="shared" si="19"/>
        <v>100324</v>
      </c>
      <c r="P92" s="58"/>
      <c r="Q92" s="58"/>
    </row>
    <row r="93" spans="1:21" s="8" customFormat="1" ht="15.75" customHeight="1" x14ac:dyDescent="0.25">
      <c r="A93" s="51" t="s">
        <v>75</v>
      </c>
      <c r="B93" s="52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7"/>
      <c r="Q93" s="57"/>
    </row>
    <row r="94" spans="1:21" s="11" customFormat="1" ht="30" customHeight="1" x14ac:dyDescent="0.25">
      <c r="A94" s="44" t="s">
        <v>119</v>
      </c>
      <c r="B94" s="45" t="s">
        <v>452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55000+75272</f>
        <v>130272</v>
      </c>
      <c r="M94" s="37"/>
      <c r="N94" s="37"/>
      <c r="O94" s="27">
        <f t="shared" si="19"/>
        <v>130272</v>
      </c>
      <c r="P94" s="58"/>
      <c r="Q94" s="58"/>
    </row>
    <row r="95" spans="1:21" s="11" customFormat="1" ht="30" customHeight="1" x14ac:dyDescent="0.25">
      <c r="A95" s="44" t="s">
        <v>177</v>
      </c>
      <c r="B95" s="45" t="s">
        <v>415</v>
      </c>
      <c r="C95" s="37"/>
      <c r="D95" s="37"/>
      <c r="E95" s="37"/>
      <c r="F95" s="37"/>
      <c r="G95" s="37"/>
      <c r="H95" s="37"/>
      <c r="I95" s="37"/>
      <c r="J95" s="37"/>
      <c r="K95" s="37"/>
      <c r="L95" s="37">
        <f>10000+2900+1500</f>
        <v>14400</v>
      </c>
      <c r="M95" s="37"/>
      <c r="N95" s="37"/>
      <c r="O95" s="27">
        <f t="shared" si="19"/>
        <v>14400</v>
      </c>
      <c r="P95" s="58"/>
      <c r="Q95" s="58"/>
    </row>
    <row r="96" spans="1:21" s="8" customFormat="1" ht="15.75" customHeight="1" x14ac:dyDescent="0.25">
      <c r="A96" s="44" t="s">
        <v>414</v>
      </c>
      <c r="B96" s="45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7"/>
      <c r="Q96" s="57"/>
    </row>
    <row r="97" spans="1:21" s="9" customFormat="1" ht="15.75" customHeight="1" x14ac:dyDescent="0.25">
      <c r="A97" s="27" t="s">
        <v>58</v>
      </c>
      <c r="B97" s="42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8"/>
      <c r="Q97" s="58"/>
    </row>
    <row r="98" spans="1:21" s="11" customFormat="1" ht="30.75" customHeight="1" x14ac:dyDescent="0.25">
      <c r="A98" s="28" t="s">
        <v>153</v>
      </c>
      <c r="B98" s="45" t="s">
        <v>453</v>
      </c>
      <c r="C98" s="37">
        <f>140000+24442+13427</f>
        <v>177869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 t="shared" si="19"/>
        <v>177869</v>
      </c>
      <c r="P98" s="58"/>
      <c r="Q98" s="58"/>
    </row>
    <row r="99" spans="1:21" s="7" customFormat="1" ht="29.25" customHeight="1" x14ac:dyDescent="0.25">
      <c r="A99" s="44" t="s">
        <v>76</v>
      </c>
      <c r="B99" s="45" t="s">
        <v>454</v>
      </c>
      <c r="C99" s="37">
        <v>100000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100000</v>
      </c>
      <c r="Q99" s="41"/>
      <c r="T99" s="41"/>
      <c r="U99" s="41"/>
    </row>
    <row r="100" spans="1:21" s="7" customFormat="1" ht="27.75" customHeight="1" x14ac:dyDescent="0.25">
      <c r="A100" s="28" t="s">
        <v>77</v>
      </c>
      <c r="B100" s="45" t="s">
        <v>350</v>
      </c>
      <c r="C100" s="37">
        <v>10000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10000</v>
      </c>
      <c r="Q100" s="41"/>
      <c r="T100" s="41"/>
      <c r="U100" s="41"/>
    </row>
    <row r="101" spans="1:21" s="7" customFormat="1" ht="16.5" customHeight="1" x14ac:dyDescent="0.25">
      <c r="A101" s="28" t="s">
        <v>165</v>
      </c>
      <c r="B101" s="33" t="s">
        <v>455</v>
      </c>
      <c r="C101" s="37">
        <f>90000-20000</f>
        <v>70000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70000</v>
      </c>
      <c r="Q101" s="41"/>
      <c r="T101" s="41"/>
      <c r="U101" s="41"/>
    </row>
    <row r="102" spans="1:21" s="7" customFormat="1" ht="16.5" customHeight="1" x14ac:dyDescent="0.25">
      <c r="A102" s="28" t="s">
        <v>271</v>
      </c>
      <c r="B102" s="45" t="s">
        <v>456</v>
      </c>
      <c r="C102" s="37">
        <f>30000-29130</f>
        <v>870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7">
        <f>C102+F102+I102+L102</f>
        <v>870</v>
      </c>
      <c r="Q102" s="41"/>
      <c r="T102" s="41"/>
      <c r="U102" s="41"/>
    </row>
    <row r="103" spans="1:21" s="7" customFormat="1" ht="15.75" customHeight="1" x14ac:dyDescent="0.25">
      <c r="A103" s="28" t="s">
        <v>272</v>
      </c>
      <c r="B103" s="45" t="s">
        <v>194</v>
      </c>
      <c r="C103" s="37"/>
      <c r="D103" s="38"/>
      <c r="E103" s="38"/>
      <c r="F103" s="37">
        <v>2000</v>
      </c>
      <c r="G103" s="37">
        <v>1770</v>
      </c>
      <c r="H103" s="37"/>
      <c r="I103" s="37"/>
      <c r="J103" s="38"/>
      <c r="K103" s="37"/>
      <c r="L103" s="38"/>
      <c r="M103" s="38"/>
      <c r="N103" s="38"/>
      <c r="O103" s="27">
        <f t="shared" si="19"/>
        <v>2000</v>
      </c>
      <c r="P103" s="58"/>
      <c r="Q103" s="58"/>
    </row>
    <row r="104" spans="1:21" s="11" customFormat="1" ht="16.5" customHeight="1" x14ac:dyDescent="0.25">
      <c r="A104" s="28" t="s">
        <v>347</v>
      </c>
      <c r="B104" s="45" t="s">
        <v>416</v>
      </c>
      <c r="C104" s="37">
        <v>5000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7">
        <f>C104+F104+I104+L104</f>
        <v>5000</v>
      </c>
      <c r="P104" s="58"/>
      <c r="Q104" s="58"/>
    </row>
    <row r="105" spans="1:21" s="11" customFormat="1" ht="15.75" customHeight="1" x14ac:dyDescent="0.25">
      <c r="A105" s="28" t="s">
        <v>417</v>
      </c>
      <c r="B105" s="45" t="s">
        <v>154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>
        <f>794976+425024+110000</f>
        <v>1330000</v>
      </c>
      <c r="M105" s="37"/>
      <c r="N105" s="37"/>
      <c r="O105" s="27">
        <f>C105+F105+I105+L105</f>
        <v>1330000</v>
      </c>
      <c r="P105" s="58"/>
      <c r="Q105" s="58"/>
    </row>
    <row r="106" spans="1:21" s="11" customFormat="1" ht="13.8" x14ac:dyDescent="0.25">
      <c r="A106" s="28" t="s">
        <v>519</v>
      </c>
      <c r="B106" s="45" t="s">
        <v>520</v>
      </c>
      <c r="C106" s="37"/>
      <c r="D106" s="37"/>
      <c r="E106" s="37"/>
      <c r="F106" s="37">
        <f>163000-28000</f>
        <v>135000</v>
      </c>
      <c r="G106" s="37"/>
      <c r="H106" s="37"/>
      <c r="I106" s="37"/>
      <c r="J106" s="37"/>
      <c r="K106" s="37"/>
      <c r="L106" s="37"/>
      <c r="M106" s="37"/>
      <c r="N106" s="37" t="s">
        <v>346</v>
      </c>
      <c r="O106" s="27">
        <f>C106+F106+I106+L106</f>
        <v>135000</v>
      </c>
      <c r="P106" s="58"/>
      <c r="Q106" s="58"/>
    </row>
    <row r="107" spans="1:21" s="11" customFormat="1" ht="27.6" x14ac:dyDescent="0.25">
      <c r="A107" s="28" t="s">
        <v>582</v>
      </c>
      <c r="B107" s="45" t="s">
        <v>584</v>
      </c>
      <c r="C107" s="37"/>
      <c r="D107" s="37"/>
      <c r="E107" s="37"/>
      <c r="F107" s="37">
        <v>13052</v>
      </c>
      <c r="G107" s="37"/>
      <c r="H107" s="37"/>
      <c r="I107" s="37"/>
      <c r="J107" s="37"/>
      <c r="K107" s="37"/>
      <c r="L107" s="37"/>
      <c r="M107" s="37"/>
      <c r="N107" s="37"/>
      <c r="O107" s="27">
        <f>C107+F107+I107+L107</f>
        <v>13052</v>
      </c>
      <c r="P107" s="58"/>
      <c r="Q107" s="58"/>
    </row>
    <row r="108" spans="1:21" s="4" customFormat="1" ht="28.5" customHeight="1" x14ac:dyDescent="0.25">
      <c r="A108" s="27" t="s">
        <v>59</v>
      </c>
      <c r="B108" s="42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7"/>
      <c r="Q108" s="57"/>
    </row>
    <row r="109" spans="1:21" s="10" customFormat="1" ht="15.75" customHeight="1" x14ac:dyDescent="0.3">
      <c r="A109" s="49" t="s">
        <v>78</v>
      </c>
      <c r="B109" s="33" t="s">
        <v>357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>
        <v>916</v>
      </c>
      <c r="M109" s="37"/>
      <c r="N109" s="37"/>
      <c r="O109" s="27">
        <f t="shared" si="19"/>
        <v>916</v>
      </c>
      <c r="P109" s="59"/>
      <c r="Q109" s="59"/>
    </row>
    <row r="110" spans="1:21" s="10" customFormat="1" ht="15.75" customHeight="1" x14ac:dyDescent="0.3">
      <c r="A110" s="49" t="s">
        <v>79</v>
      </c>
      <c r="B110" s="33" t="s">
        <v>358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>
        <v>12352</v>
      </c>
      <c r="M110" s="37"/>
      <c r="N110" s="37"/>
      <c r="O110" s="27">
        <f t="shared" si="19"/>
        <v>12352</v>
      </c>
      <c r="P110" s="59"/>
      <c r="Q110" s="59"/>
    </row>
    <row r="111" spans="1:21" s="4" customFormat="1" ht="16.5" customHeight="1" x14ac:dyDescent="0.25">
      <c r="A111" s="77" t="s">
        <v>160</v>
      </c>
      <c r="B111" s="50" t="s">
        <v>161</v>
      </c>
      <c r="C111" s="38">
        <f>SUM(C112,C113)</f>
        <v>8400</v>
      </c>
      <c r="D111" s="38">
        <f t="shared" ref="D111:O111" si="22">SUM(D112,D113)</f>
        <v>0</v>
      </c>
      <c r="E111" s="38">
        <f t="shared" si="22"/>
        <v>0</v>
      </c>
      <c r="F111" s="38">
        <f t="shared" si="22"/>
        <v>289250</v>
      </c>
      <c r="G111" s="38">
        <f t="shared" si="22"/>
        <v>198910</v>
      </c>
      <c r="H111" s="38">
        <f t="shared" si="22"/>
        <v>0</v>
      </c>
      <c r="I111" s="38">
        <f t="shared" si="22"/>
        <v>0</v>
      </c>
      <c r="J111" s="38">
        <f t="shared" si="22"/>
        <v>0</v>
      </c>
      <c r="K111" s="38">
        <f t="shared" si="22"/>
        <v>0</v>
      </c>
      <c r="L111" s="38">
        <f t="shared" si="22"/>
        <v>5500</v>
      </c>
      <c r="M111" s="38">
        <f t="shared" si="22"/>
        <v>0</v>
      </c>
      <c r="N111" s="38">
        <f t="shared" si="22"/>
        <v>0</v>
      </c>
      <c r="O111" s="38">
        <f t="shared" si="22"/>
        <v>303150</v>
      </c>
      <c r="P111" s="57"/>
      <c r="Q111" s="57"/>
    </row>
    <row r="112" spans="1:21" s="7" customFormat="1" ht="46.5" customHeight="1" x14ac:dyDescent="0.25">
      <c r="A112" s="44" t="s">
        <v>80</v>
      </c>
      <c r="B112" s="95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8"/>
      <c r="Q112" s="58"/>
      <c r="R112" s="4"/>
      <c r="S112" s="4"/>
      <c r="T112" s="4"/>
      <c r="U112" s="4"/>
    </row>
    <row r="113" spans="1:21" s="7" customFormat="1" ht="31.5" customHeight="1" x14ac:dyDescent="0.25">
      <c r="A113" s="44" t="s">
        <v>151</v>
      </c>
      <c r="B113" s="76" t="s">
        <v>359</v>
      </c>
      <c r="C113" s="37"/>
      <c r="D113" s="38"/>
      <c r="E113" s="38"/>
      <c r="F113" s="37">
        <v>70130</v>
      </c>
      <c r="G113" s="37">
        <f>43160-16580</f>
        <v>26580</v>
      </c>
      <c r="H113" s="38"/>
      <c r="I113" s="38"/>
      <c r="J113" s="38"/>
      <c r="K113" s="38"/>
      <c r="L113" s="37"/>
      <c r="M113" s="38"/>
      <c r="N113" s="38"/>
      <c r="O113" s="27">
        <f>C113+F113+I113+L113</f>
        <v>70130</v>
      </c>
      <c r="P113" s="58"/>
      <c r="Q113" s="58"/>
      <c r="R113" s="4"/>
      <c r="S113" s="4"/>
      <c r="T113" s="4"/>
      <c r="U113" s="4"/>
    </row>
    <row r="114" spans="1:21" s="1" customFormat="1" ht="15.75" customHeight="1" x14ac:dyDescent="0.3">
      <c r="A114" s="46"/>
      <c r="B114" s="127" t="s">
        <v>266</v>
      </c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7"/>
      <c r="Q114" s="17"/>
    </row>
    <row r="115" spans="1:21" s="7" customFormat="1" ht="15.75" customHeight="1" x14ac:dyDescent="0.25">
      <c r="A115" s="29"/>
      <c r="B115" s="42" t="s">
        <v>27</v>
      </c>
      <c r="C115" s="38">
        <f t="shared" ref="C115:N115" si="23">SUM(C116,C117,C118,C119,C120,C121,C122,C123,C127,C140)</f>
        <v>3987736</v>
      </c>
      <c r="D115" s="38">
        <f t="shared" si="23"/>
        <v>3021215</v>
      </c>
      <c r="E115" s="38">
        <f t="shared" si="23"/>
        <v>0</v>
      </c>
      <c r="F115" s="38">
        <f t="shared" si="23"/>
        <v>50310</v>
      </c>
      <c r="G115" s="38">
        <f t="shared" si="23"/>
        <v>0</v>
      </c>
      <c r="H115" s="38">
        <f t="shared" si="23"/>
        <v>0</v>
      </c>
      <c r="I115" s="38">
        <f t="shared" si="23"/>
        <v>0</v>
      </c>
      <c r="J115" s="38">
        <f t="shared" si="23"/>
        <v>0</v>
      </c>
      <c r="K115" s="38">
        <f t="shared" si="23"/>
        <v>0</v>
      </c>
      <c r="L115" s="38">
        <f t="shared" si="23"/>
        <v>123426</v>
      </c>
      <c r="M115" s="38">
        <f t="shared" si="23"/>
        <v>0</v>
      </c>
      <c r="N115" s="38">
        <f t="shared" si="23"/>
        <v>0</v>
      </c>
      <c r="O115" s="38">
        <f>C115+F115+I115+L115</f>
        <v>4161472</v>
      </c>
      <c r="P115" s="58"/>
      <c r="Q115" s="58"/>
    </row>
    <row r="116" spans="1:21" s="4" customFormat="1" ht="15.75" customHeight="1" x14ac:dyDescent="0.25">
      <c r="A116" s="27" t="s">
        <v>60</v>
      </c>
      <c r="B116" s="50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27">
        <f>2000+900+1000+2000+1800</f>
        <v>7700</v>
      </c>
      <c r="M116" s="27"/>
      <c r="N116" s="27"/>
      <c r="O116" s="27">
        <f>C116+F116+I116+L116</f>
        <v>1049231</v>
      </c>
      <c r="P116" s="57"/>
      <c r="Q116" s="57"/>
    </row>
    <row r="117" spans="1:21" s="4" customFormat="1" ht="15.75" customHeight="1" x14ac:dyDescent="0.25">
      <c r="A117" s="27" t="s">
        <v>90</v>
      </c>
      <c r="B117" s="42" t="s">
        <v>16</v>
      </c>
      <c r="C117" s="27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27">
        <f>15070+8000+3500</f>
        <v>26570</v>
      </c>
      <c r="M117" s="27"/>
      <c r="N117" s="27"/>
      <c r="O117" s="27">
        <f t="shared" ref="O117:O143" si="24">C117+F117+I117+L117</f>
        <v>334064</v>
      </c>
      <c r="P117" s="57"/>
      <c r="Q117" s="57"/>
    </row>
    <row r="118" spans="1:21" s="9" customFormat="1" ht="15.75" customHeight="1" x14ac:dyDescent="0.25">
      <c r="A118" s="27" t="s">
        <v>91</v>
      </c>
      <c r="B118" s="42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27">
        <f>12000+18000+13000+3000+8000</f>
        <v>54000</v>
      </c>
      <c r="M118" s="27"/>
      <c r="N118" s="27"/>
      <c r="O118" s="27">
        <f t="shared" si="24"/>
        <v>1016843</v>
      </c>
      <c r="P118" s="58"/>
      <c r="Q118" s="58"/>
    </row>
    <row r="119" spans="1:21" s="9" customFormat="1" ht="15.75" customHeight="1" x14ac:dyDescent="0.25">
      <c r="A119" s="27" t="s">
        <v>92</v>
      </c>
      <c r="B119" s="42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8"/>
      <c r="Q119" s="58"/>
    </row>
    <row r="120" spans="1:21" s="9" customFormat="1" ht="15.75" customHeight="1" x14ac:dyDescent="0.25">
      <c r="A120" s="27" t="s">
        <v>93</v>
      </c>
      <c r="B120" s="42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8"/>
      <c r="Q120" s="58"/>
    </row>
    <row r="121" spans="1:21" s="9" customFormat="1" ht="15.75" customHeight="1" x14ac:dyDescent="0.25">
      <c r="A121" s="27" t="s">
        <v>94</v>
      </c>
      <c r="B121" s="42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27">
        <f>9000-3000</f>
        <v>6000</v>
      </c>
      <c r="M121" s="27"/>
      <c r="N121" s="27"/>
      <c r="O121" s="27">
        <f t="shared" si="24"/>
        <v>176707</v>
      </c>
      <c r="P121" s="58"/>
      <c r="Q121" s="58"/>
    </row>
    <row r="122" spans="1:21" s="9" customFormat="1" ht="15.75" customHeight="1" x14ac:dyDescent="0.25">
      <c r="A122" s="27" t="s">
        <v>124</v>
      </c>
      <c r="B122" s="42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8"/>
      <c r="Q122" s="58"/>
    </row>
    <row r="123" spans="1:21" s="2" customFormat="1" ht="17.25" customHeight="1" x14ac:dyDescent="0.3">
      <c r="A123" s="27" t="s">
        <v>125</v>
      </c>
      <c r="B123" s="50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  <c r="Q123" s="17"/>
    </row>
    <row r="124" spans="1:21" s="2" customFormat="1" ht="15.75" customHeight="1" x14ac:dyDescent="0.3">
      <c r="A124" s="44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  <c r="Q124" s="17"/>
    </row>
    <row r="125" spans="1:21" s="2" customFormat="1" ht="15.75" customHeight="1" x14ac:dyDescent="0.3">
      <c r="A125" s="44" t="s">
        <v>274</v>
      </c>
      <c r="B125" s="33" t="s">
        <v>307</v>
      </c>
      <c r="C125" s="37">
        <v>25000</v>
      </c>
      <c r="D125" s="29"/>
      <c r="E125" s="29"/>
      <c r="F125" s="38"/>
      <c r="G125" s="29"/>
      <c r="H125" s="29"/>
      <c r="I125" s="38"/>
      <c r="J125" s="38"/>
      <c r="K125" s="29"/>
      <c r="L125" s="38"/>
      <c r="M125" s="29"/>
      <c r="N125" s="29"/>
      <c r="O125" s="27">
        <f t="shared" si="24"/>
        <v>25000</v>
      </c>
      <c r="P125" s="17"/>
      <c r="Q125" s="17"/>
    </row>
    <row r="126" spans="1:21" s="2" customFormat="1" ht="15.75" customHeight="1" x14ac:dyDescent="0.3">
      <c r="A126" s="44" t="s">
        <v>275</v>
      </c>
      <c r="B126" s="33" t="s">
        <v>30</v>
      </c>
      <c r="C126" s="37">
        <v>50000</v>
      </c>
      <c r="D126" s="29"/>
      <c r="E126" s="29"/>
      <c r="F126" s="38"/>
      <c r="G126" s="29"/>
      <c r="H126" s="29"/>
      <c r="I126" s="38"/>
      <c r="J126" s="38"/>
      <c r="K126" s="29"/>
      <c r="L126" s="38"/>
      <c r="M126" s="29"/>
      <c r="N126" s="29"/>
      <c r="O126" s="27">
        <f t="shared" si="24"/>
        <v>50000</v>
      </c>
      <c r="P126" s="17"/>
      <c r="Q126" s="17"/>
    </row>
    <row r="127" spans="1:21" s="7" customFormat="1" ht="15.75" customHeight="1" x14ac:dyDescent="0.25">
      <c r="A127" s="27" t="s">
        <v>126</v>
      </c>
      <c r="B127" s="42" t="s">
        <v>22</v>
      </c>
      <c r="C127" s="38">
        <f t="shared" ref="C127:N127" si="26">SUM(C128:C139)</f>
        <v>268825</v>
      </c>
      <c r="D127" s="38">
        <f t="shared" si="26"/>
        <v>0</v>
      </c>
      <c r="E127" s="38">
        <f t="shared" si="26"/>
        <v>0</v>
      </c>
      <c r="F127" s="38">
        <f t="shared" si="26"/>
        <v>18146</v>
      </c>
      <c r="G127" s="38">
        <f t="shared" si="26"/>
        <v>0</v>
      </c>
      <c r="H127" s="38">
        <f t="shared" si="26"/>
        <v>0</v>
      </c>
      <c r="I127" s="38">
        <f t="shared" si="26"/>
        <v>0</v>
      </c>
      <c r="J127" s="38">
        <f t="shared" si="26"/>
        <v>0</v>
      </c>
      <c r="K127" s="38">
        <f t="shared" si="26"/>
        <v>0</v>
      </c>
      <c r="L127" s="38">
        <f t="shared" si="26"/>
        <v>0</v>
      </c>
      <c r="M127" s="38">
        <f t="shared" si="26"/>
        <v>0</v>
      </c>
      <c r="N127" s="38">
        <f t="shared" si="26"/>
        <v>0</v>
      </c>
      <c r="O127" s="27">
        <f>C127+F127+I127+L127</f>
        <v>286971</v>
      </c>
      <c r="P127" s="58"/>
      <c r="Q127" s="58"/>
    </row>
    <row r="128" spans="1:21" s="11" customFormat="1" ht="15.75" customHeight="1" x14ac:dyDescent="0.25">
      <c r="A128" s="44" t="s">
        <v>276</v>
      </c>
      <c r="B128" s="45" t="s">
        <v>205</v>
      </c>
      <c r="C128" s="37">
        <v>15000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15000</v>
      </c>
      <c r="P128" s="58"/>
      <c r="Q128" s="58"/>
    </row>
    <row r="129" spans="1:17" s="11" customFormat="1" ht="15.75" customHeight="1" x14ac:dyDescent="0.25">
      <c r="A129" s="44" t="s">
        <v>277</v>
      </c>
      <c r="B129" s="45" t="s">
        <v>418</v>
      </c>
      <c r="C129" s="37">
        <v>1000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1000</v>
      </c>
      <c r="P129" s="58"/>
      <c r="Q129" s="58"/>
    </row>
    <row r="130" spans="1:17" s="11" customFormat="1" ht="29.25" customHeight="1" x14ac:dyDescent="0.25">
      <c r="A130" s="44" t="s">
        <v>278</v>
      </c>
      <c r="B130" s="45" t="s">
        <v>419</v>
      </c>
      <c r="C130" s="37">
        <f>50000-15000+1725</f>
        <v>36725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36725</v>
      </c>
      <c r="P130" s="58"/>
      <c r="Q130" s="58"/>
    </row>
    <row r="131" spans="1:17" s="11" customFormat="1" ht="15.75" customHeight="1" x14ac:dyDescent="0.25">
      <c r="A131" s="28" t="s">
        <v>279</v>
      </c>
      <c r="B131" s="45" t="s">
        <v>308</v>
      </c>
      <c r="C131" s="37">
        <f>12000+12000</f>
        <v>24000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24000</v>
      </c>
      <c r="P131" s="58"/>
      <c r="Q131" s="58"/>
    </row>
    <row r="132" spans="1:17" s="11" customFormat="1" ht="15.75" customHeight="1" x14ac:dyDescent="0.25">
      <c r="A132" s="28" t="s">
        <v>280</v>
      </c>
      <c r="B132" s="45" t="s">
        <v>457</v>
      </c>
      <c r="C132" s="37">
        <f>30000-1000</f>
        <v>29000</v>
      </c>
      <c r="D132" s="37"/>
      <c r="E132" s="37"/>
      <c r="F132" s="37">
        <v>18146</v>
      </c>
      <c r="G132" s="37"/>
      <c r="H132" s="37"/>
      <c r="I132" s="37"/>
      <c r="J132" s="37"/>
      <c r="K132" s="37"/>
      <c r="L132" s="37"/>
      <c r="M132" s="37"/>
      <c r="N132" s="37"/>
      <c r="O132" s="27">
        <f t="shared" si="24"/>
        <v>47146</v>
      </c>
      <c r="P132" s="58"/>
      <c r="Q132" s="58"/>
    </row>
    <row r="133" spans="1:17" s="11" customFormat="1" ht="15.75" customHeight="1" x14ac:dyDescent="0.25">
      <c r="A133" s="28" t="s">
        <v>281</v>
      </c>
      <c r="B133" s="45" t="s">
        <v>155</v>
      </c>
      <c r="C133" s="37">
        <v>6000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7">
        <f t="shared" si="24"/>
        <v>6000</v>
      </c>
      <c r="P133" s="58"/>
      <c r="Q133" s="58"/>
    </row>
    <row r="134" spans="1:17" s="7" customFormat="1" ht="15.75" customHeight="1" x14ac:dyDescent="0.25">
      <c r="A134" s="44" t="s">
        <v>282</v>
      </c>
      <c r="B134" s="45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8"/>
      <c r="Q134" s="58"/>
    </row>
    <row r="135" spans="1:17" s="7" customFormat="1" ht="15.75" customHeight="1" x14ac:dyDescent="0.25">
      <c r="A135" s="44" t="s">
        <v>283</v>
      </c>
      <c r="B135" s="45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8"/>
      <c r="Q135" s="58"/>
    </row>
    <row r="136" spans="1:17" s="7" customFormat="1" ht="30.75" customHeight="1" x14ac:dyDescent="0.25">
      <c r="A136" s="44" t="s">
        <v>285</v>
      </c>
      <c r="B136" s="45" t="s">
        <v>420</v>
      </c>
      <c r="C136" s="29">
        <v>100000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100000</v>
      </c>
      <c r="P136" s="58"/>
      <c r="Q136" s="58"/>
    </row>
    <row r="137" spans="1:17" s="11" customFormat="1" ht="15.75" customHeight="1" x14ac:dyDescent="0.25">
      <c r="A137" s="43" t="s">
        <v>363</v>
      </c>
      <c r="B137" s="45" t="s">
        <v>286</v>
      </c>
      <c r="C137" s="37">
        <v>9000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9000</v>
      </c>
      <c r="P137" s="58"/>
      <c r="Q137" s="58"/>
    </row>
    <row r="138" spans="1:17" s="11" customFormat="1" ht="29.25" customHeight="1" x14ac:dyDescent="0.25">
      <c r="A138" s="43" t="s">
        <v>287</v>
      </c>
      <c r="B138" s="45" t="s">
        <v>309</v>
      </c>
      <c r="C138" s="37">
        <v>11100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7">
        <f t="shared" si="24"/>
        <v>11100</v>
      </c>
      <c r="P138" s="58"/>
      <c r="Q138" s="58"/>
    </row>
    <row r="139" spans="1:17" s="11" customFormat="1" ht="15.75" customHeight="1" x14ac:dyDescent="0.25">
      <c r="A139" s="43" t="s">
        <v>288</v>
      </c>
      <c r="B139" s="45" t="s">
        <v>421</v>
      </c>
      <c r="C139" s="37">
        <v>3000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7">
        <f t="shared" si="24"/>
        <v>3000</v>
      </c>
      <c r="P139" s="58"/>
      <c r="Q139" s="58"/>
    </row>
    <row r="140" spans="1:17" s="9" customFormat="1" ht="17.25" customHeight="1" x14ac:dyDescent="0.25">
      <c r="A140" s="27" t="s">
        <v>127</v>
      </c>
      <c r="B140" s="42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8"/>
      <c r="Q140" s="58"/>
    </row>
    <row r="141" spans="1:17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8"/>
      <c r="Q141" s="58"/>
    </row>
    <row r="142" spans="1:17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8"/>
      <c r="Q142" s="58"/>
    </row>
    <row r="143" spans="1:17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8"/>
      <c r="Q143" s="58"/>
    </row>
    <row r="144" spans="1:17" s="11" customFormat="1" ht="45.75" customHeight="1" x14ac:dyDescent="0.25">
      <c r="A144" s="43" t="s">
        <v>459</v>
      </c>
      <c r="B144" s="45" t="s">
        <v>460</v>
      </c>
      <c r="C144" s="29">
        <f>85000+5000</f>
        <v>90000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7">
        <f>C144+F144+I144+L144</f>
        <v>90000</v>
      </c>
      <c r="P144" s="58"/>
      <c r="Q144" s="58"/>
    </row>
    <row r="145" spans="1:17" s="1" customFormat="1" ht="18" customHeight="1" x14ac:dyDescent="0.3">
      <c r="A145" s="46"/>
      <c r="B145" s="128" t="s">
        <v>203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30"/>
      <c r="P145" s="17"/>
      <c r="Q145" s="17"/>
    </row>
    <row r="146" spans="1:17" s="7" customFormat="1" ht="15.75" customHeight="1" x14ac:dyDescent="0.25">
      <c r="A146" s="29"/>
      <c r="B146" s="42" t="s">
        <v>27</v>
      </c>
      <c r="C146" s="38">
        <f t="shared" ref="C146:H146" si="28">SUM(C147:C148,C151,C154:C156,C159:C159,C162,C165,C168,C171:C171,C174,C177,C180:C182,C183,C197)</f>
        <v>9378380</v>
      </c>
      <c r="D146" s="38">
        <f t="shared" si="28"/>
        <v>6609651</v>
      </c>
      <c r="E146" s="38">
        <f t="shared" si="28"/>
        <v>0</v>
      </c>
      <c r="F146" s="38">
        <f>SUM(F147:F148,F151,F154:F156,F159:F159,F162,F165,F168,F171:F171,F174,F177,F180:F182,F183,F197)</f>
        <v>975207</v>
      </c>
      <c r="G146" s="38">
        <f t="shared" si="28"/>
        <v>102483</v>
      </c>
      <c r="H146" s="38">
        <f t="shared" si="28"/>
        <v>195370</v>
      </c>
      <c r="I146" s="38">
        <f>SUM(I147:I148,I151,I154:I156,I159:I159,I162,I165,I168,I171:I171,I174,I177,I180:I182,I183)</f>
        <v>10828900</v>
      </c>
      <c r="J146" s="38">
        <f>SUM(J147:J148,J151,J154:J156,J159:J159,J162,J165,J168,J171:J171,J174,J177,J180:J182,J183)</f>
        <v>10193706</v>
      </c>
      <c r="K146" s="38">
        <f>SUM(K147:K148,K151,K154:K156,K159:K159,K162,K165,K168,K171:K171,K174,K177,K180:K182,K183,K197)</f>
        <v>0</v>
      </c>
      <c r="L146" s="38">
        <f>SUM(L147:L148,L151,L154:L156,L159:L159,L162,L165,L168,L171:L171,L174,L177,L180:L182,L183,L197)</f>
        <v>545152</v>
      </c>
      <c r="M146" s="38">
        <f>SUM(M147:M148,M151,M154:M156,M159:M159,M162,M165,M168,M171:M171,M174,M177,M180:M182,M183,M197)</f>
        <v>24670</v>
      </c>
      <c r="N146" s="38">
        <f>SUM(N147:N148,N151,N154:N156,N159:N159,N162,N165,N168,N171:N171,N174,N177,N180:N182,N183,N197)</f>
        <v>0</v>
      </c>
      <c r="O146" s="27">
        <f>C146+F146+I146+L146</f>
        <v>21727639</v>
      </c>
      <c r="P146" s="58"/>
      <c r="Q146" s="58"/>
    </row>
    <row r="147" spans="1:17" s="10" customFormat="1" ht="15.75" customHeight="1" x14ac:dyDescent="0.3">
      <c r="A147" s="38" t="s">
        <v>128</v>
      </c>
      <c r="B147" s="90" t="s">
        <v>12</v>
      </c>
      <c r="C147" s="117">
        <f>470000+1368+58438+1000+2500</f>
        <v>533306</v>
      </c>
      <c r="D147" s="38">
        <v>371000</v>
      </c>
      <c r="E147" s="38"/>
      <c r="F147" s="38"/>
      <c r="G147" s="38"/>
      <c r="H147" s="38"/>
      <c r="I147" s="38">
        <f>1485053+55590</f>
        <v>1540643</v>
      </c>
      <c r="J147" s="38">
        <v>1430788</v>
      </c>
      <c r="K147" s="38"/>
      <c r="L147" s="38">
        <f>4030+150+22490-12140</f>
        <v>14530</v>
      </c>
      <c r="M147" s="38"/>
      <c r="N147" s="38"/>
      <c r="O147" s="27">
        <f t="shared" ref="O147:O202" si="29">C147+F147+I147+L147</f>
        <v>2088479</v>
      </c>
      <c r="P147" s="59"/>
      <c r="Q147" s="59"/>
    </row>
    <row r="148" spans="1:17" s="10" customFormat="1" ht="15.75" customHeight="1" x14ac:dyDescent="0.3">
      <c r="A148" s="38" t="s">
        <v>129</v>
      </c>
      <c r="B148" s="50" t="s">
        <v>83</v>
      </c>
      <c r="C148" s="38">
        <f>C149+C150+20000</f>
        <v>565532</v>
      </c>
      <c r="D148" s="38">
        <f t="shared" ref="D148:K148" si="30">D149+D150</f>
        <v>394000</v>
      </c>
      <c r="E148" s="38">
        <f t="shared" si="30"/>
        <v>0</v>
      </c>
      <c r="F148" s="38">
        <f>F149+F150+519+16688</f>
        <v>32406</v>
      </c>
      <c r="G148" s="38">
        <f t="shared" si="30"/>
        <v>8528</v>
      </c>
      <c r="H148" s="38">
        <f t="shared" si="30"/>
        <v>0</v>
      </c>
      <c r="I148" s="38">
        <f>I149+I150+22402</f>
        <v>864701</v>
      </c>
      <c r="J148" s="38">
        <f>J149+J150</f>
        <v>816335</v>
      </c>
      <c r="K148" s="38">
        <f t="shared" si="30"/>
        <v>0</v>
      </c>
      <c r="L148" s="117">
        <f>L149+L150+1200-1200</f>
        <v>19320</v>
      </c>
      <c r="M148" s="38">
        <f>M149+M150</f>
        <v>0</v>
      </c>
      <c r="N148" s="38">
        <f>N149+N150</f>
        <v>0</v>
      </c>
      <c r="O148" s="27">
        <f>C148+F148+I148+L148</f>
        <v>1481959</v>
      </c>
      <c r="P148" s="59"/>
      <c r="Q148" s="59"/>
    </row>
    <row r="149" spans="1:17" s="10" customFormat="1" ht="15.75" hidden="1" customHeight="1" x14ac:dyDescent="0.3">
      <c r="A149" s="49" t="s">
        <v>366</v>
      </c>
      <c r="B149" s="33" t="s">
        <v>26</v>
      </c>
      <c r="C149" s="37">
        <f>133300</f>
        <v>133300</v>
      </c>
      <c r="D149" s="37">
        <v>129000</v>
      </c>
      <c r="E149" s="37"/>
      <c r="F149" s="37">
        <v>15199</v>
      </c>
      <c r="G149" s="37">
        <f>8528</f>
        <v>8528</v>
      </c>
      <c r="H149" s="37"/>
      <c r="I149" s="37">
        <v>66252</v>
      </c>
      <c r="J149" s="37">
        <v>63339</v>
      </c>
      <c r="K149" s="37"/>
      <c r="L149" s="37">
        <v>19320</v>
      </c>
      <c r="M149" s="37"/>
      <c r="N149" s="37"/>
      <c r="O149" s="27">
        <f>C149+F149+I149+L149</f>
        <v>234071</v>
      </c>
      <c r="P149" s="59"/>
      <c r="Q149" s="59"/>
    </row>
    <row r="150" spans="1:17" s="10" customFormat="1" ht="15.75" hidden="1" customHeight="1" x14ac:dyDescent="0.3">
      <c r="A150" s="49" t="s">
        <v>367</v>
      </c>
      <c r="B150" s="33" t="s">
        <v>25</v>
      </c>
      <c r="C150" s="37">
        <f>515300-133300+5000+25232</f>
        <v>412232</v>
      </c>
      <c r="D150" s="37">
        <f>394000-129000</f>
        <v>265000</v>
      </c>
      <c r="E150" s="37"/>
      <c r="F150" s="37"/>
      <c r="G150" s="37"/>
      <c r="H150" s="37"/>
      <c r="I150" s="37">
        <v>776047</v>
      </c>
      <c r="J150" s="37">
        <v>752996</v>
      </c>
      <c r="K150" s="37"/>
      <c r="L150" s="37"/>
      <c r="M150" s="37"/>
      <c r="N150" s="37"/>
      <c r="O150" s="27">
        <f>C150+F150+I150+L150</f>
        <v>1188279</v>
      </c>
      <c r="P150" s="59"/>
      <c r="Q150" s="59"/>
    </row>
    <row r="151" spans="1:17" s="10" customFormat="1" ht="15.6" x14ac:dyDescent="0.3">
      <c r="A151" s="38" t="s">
        <v>130</v>
      </c>
      <c r="B151" s="50" t="s">
        <v>562</v>
      </c>
      <c r="C151" s="38">
        <f>C152+C153</f>
        <v>873798</v>
      </c>
      <c r="D151" s="38">
        <f t="shared" ref="D151:K151" si="31">D152+D153</f>
        <v>425000</v>
      </c>
      <c r="E151" s="38">
        <f t="shared" si="31"/>
        <v>0</v>
      </c>
      <c r="F151" s="38">
        <f>F152+F153+997+11126</f>
        <v>23522</v>
      </c>
      <c r="G151" s="38">
        <f t="shared" si="31"/>
        <v>9932</v>
      </c>
      <c r="H151" s="38">
        <f t="shared" si="31"/>
        <v>0</v>
      </c>
      <c r="I151" s="38">
        <f>I152+I153+30537</f>
        <v>931395</v>
      </c>
      <c r="J151" s="38">
        <f>J152+J153</f>
        <v>737167</v>
      </c>
      <c r="K151" s="38">
        <f t="shared" si="31"/>
        <v>0</v>
      </c>
      <c r="L151" s="38">
        <f>L152+L153+4200+5000</f>
        <v>45395</v>
      </c>
      <c r="M151" s="38">
        <f>M152+M153</f>
        <v>0</v>
      </c>
      <c r="N151" s="38">
        <f>N152+N153</f>
        <v>0</v>
      </c>
      <c r="O151" s="27">
        <f t="shared" si="29"/>
        <v>1874110</v>
      </c>
      <c r="P151" s="59"/>
      <c r="Q151" s="59"/>
    </row>
    <row r="152" spans="1:17" s="10" customFormat="1" ht="15.75" hidden="1" customHeight="1" x14ac:dyDescent="0.3">
      <c r="A152" s="49" t="s">
        <v>167</v>
      </c>
      <c r="B152" s="33" t="s">
        <v>26</v>
      </c>
      <c r="C152" s="37">
        <f>140300+2708+54187</f>
        <v>197195</v>
      </c>
      <c r="D152" s="37">
        <v>136000</v>
      </c>
      <c r="E152" s="37"/>
      <c r="F152" s="37">
        <f>11399</f>
        <v>11399</v>
      </c>
      <c r="G152" s="37">
        <f>9932</f>
        <v>9932</v>
      </c>
      <c r="H152" s="37"/>
      <c r="I152" s="37">
        <f>108815+32423</f>
        <v>141238</v>
      </c>
      <c r="J152" s="37">
        <v>105696</v>
      </c>
      <c r="K152" s="37"/>
      <c r="L152" s="37">
        <f>19370+16615</f>
        <v>35985</v>
      </c>
      <c r="M152" s="37"/>
      <c r="N152" s="37"/>
      <c r="O152" s="27">
        <f t="shared" si="29"/>
        <v>385817</v>
      </c>
      <c r="P152" s="59"/>
      <c r="Q152" s="59"/>
    </row>
    <row r="153" spans="1:17" s="10" customFormat="1" ht="15.75" hidden="1" customHeight="1" x14ac:dyDescent="0.3">
      <c r="A153" s="49" t="s">
        <v>168</v>
      </c>
      <c r="B153" s="33" t="s">
        <v>25</v>
      </c>
      <c r="C153" s="37">
        <f>586100-140300+5938+33808+191057</f>
        <v>676603</v>
      </c>
      <c r="D153" s="37">
        <f>425000-136000</f>
        <v>289000</v>
      </c>
      <c r="E153" s="37"/>
      <c r="F153" s="37"/>
      <c r="G153" s="37"/>
      <c r="H153" s="37"/>
      <c r="I153" s="37">
        <f>651474+108146</f>
        <v>759620</v>
      </c>
      <c r="J153" s="37">
        <v>631471</v>
      </c>
      <c r="K153" s="37"/>
      <c r="L153" s="37">
        <v>210</v>
      </c>
      <c r="M153" s="37"/>
      <c r="N153" s="37"/>
      <c r="O153" s="27">
        <f t="shared" si="29"/>
        <v>1436433</v>
      </c>
      <c r="P153" s="59"/>
      <c r="Q153" s="59"/>
    </row>
    <row r="154" spans="1:17" s="10" customFormat="1" ht="15.75" customHeight="1" x14ac:dyDescent="0.3">
      <c r="A154" s="38" t="s">
        <v>131</v>
      </c>
      <c r="B154" s="50" t="s">
        <v>289</v>
      </c>
      <c r="C154" s="38">
        <f>503600+20721+39248+718</f>
        <v>564287</v>
      </c>
      <c r="D154" s="38">
        <v>385000</v>
      </c>
      <c r="E154" s="38"/>
      <c r="F154" s="38">
        <f>1434</f>
        <v>1434</v>
      </c>
      <c r="G154" s="38"/>
      <c r="H154" s="38"/>
      <c r="I154" s="38">
        <f>1713935+75957</f>
        <v>1789892</v>
      </c>
      <c r="J154" s="38">
        <v>1645255</v>
      </c>
      <c r="K154" s="38"/>
      <c r="L154" s="38">
        <f>2700+22000-14800</f>
        <v>9900</v>
      </c>
      <c r="M154" s="38"/>
      <c r="N154" s="38"/>
      <c r="O154" s="27">
        <f>C154+F154+I154+L154</f>
        <v>2365513</v>
      </c>
      <c r="P154" s="59"/>
      <c r="Q154" s="59"/>
    </row>
    <row r="155" spans="1:17" s="10" customFormat="1" ht="15.75" customHeight="1" x14ac:dyDescent="0.3">
      <c r="A155" s="38" t="s">
        <v>132</v>
      </c>
      <c r="B155" s="50" t="s">
        <v>561</v>
      </c>
      <c r="C155" s="38">
        <f>471200+6363+48638+511+303116</f>
        <v>829828</v>
      </c>
      <c r="D155" s="38">
        <v>363000</v>
      </c>
      <c r="E155" s="38"/>
      <c r="F155" s="38">
        <f>1022+732+2782</f>
        <v>4536</v>
      </c>
      <c r="G155" s="38"/>
      <c r="H155" s="38"/>
      <c r="I155" s="38">
        <f>838749+231911+158710</f>
        <v>1229370</v>
      </c>
      <c r="J155" s="38">
        <v>807070</v>
      </c>
      <c r="K155" s="38"/>
      <c r="L155" s="38">
        <f>4000+4456+8000</f>
        <v>16456</v>
      </c>
      <c r="M155" s="38"/>
      <c r="N155" s="38"/>
      <c r="O155" s="27">
        <f>C155+F155+I155+L155</f>
        <v>2080190</v>
      </c>
      <c r="P155" s="59"/>
      <c r="Q155" s="59"/>
    </row>
    <row r="156" spans="1:17" s="10" customFormat="1" ht="15.6" x14ac:dyDescent="0.3">
      <c r="A156" s="38" t="s">
        <v>133</v>
      </c>
      <c r="B156" s="50" t="s">
        <v>563</v>
      </c>
      <c r="C156" s="38">
        <f>C157+C158</f>
        <v>267868</v>
      </c>
      <c r="D156" s="38">
        <f t="shared" ref="D156:N156" si="32">D157+D158</f>
        <v>284000</v>
      </c>
      <c r="E156" s="38">
        <f t="shared" si="32"/>
        <v>0</v>
      </c>
      <c r="F156" s="38">
        <f t="shared" si="32"/>
        <v>0</v>
      </c>
      <c r="G156" s="38">
        <f t="shared" si="32"/>
        <v>0</v>
      </c>
      <c r="H156" s="38">
        <f t="shared" si="32"/>
        <v>0</v>
      </c>
      <c r="I156" s="38">
        <f t="shared" si="32"/>
        <v>430994</v>
      </c>
      <c r="J156" s="38">
        <f>J157+J158</f>
        <v>525181</v>
      </c>
      <c r="K156" s="38">
        <f t="shared" si="32"/>
        <v>0</v>
      </c>
      <c r="L156" s="38">
        <f t="shared" si="32"/>
        <v>6227</v>
      </c>
      <c r="M156" s="38">
        <f t="shared" si="32"/>
        <v>0</v>
      </c>
      <c r="N156" s="38">
        <f t="shared" si="32"/>
        <v>0</v>
      </c>
      <c r="O156" s="27">
        <f t="shared" si="29"/>
        <v>705089</v>
      </c>
      <c r="P156" s="59"/>
      <c r="Q156" s="59"/>
    </row>
    <row r="157" spans="1:17" s="10" customFormat="1" ht="15.75" hidden="1" customHeight="1" x14ac:dyDescent="0.3">
      <c r="A157" s="91" t="s">
        <v>310</v>
      </c>
      <c r="B157" s="33" t="s">
        <v>26</v>
      </c>
      <c r="C157" s="37">
        <f>78300+3241-24823</f>
        <v>56718</v>
      </c>
      <c r="D157" s="37">
        <v>75900</v>
      </c>
      <c r="E157" s="37"/>
      <c r="F157" s="37"/>
      <c r="G157" s="37"/>
      <c r="H157" s="37"/>
      <c r="I157" s="37">
        <f>44000-15081</f>
        <v>28919</v>
      </c>
      <c r="J157" s="37">
        <v>42120</v>
      </c>
      <c r="K157" s="37"/>
      <c r="L157" s="37">
        <f>11100-4963</f>
        <v>6137</v>
      </c>
      <c r="M157" s="37"/>
      <c r="N157" s="37"/>
      <c r="O157" s="27">
        <f t="shared" si="29"/>
        <v>91774</v>
      </c>
      <c r="P157" s="59"/>
      <c r="Q157" s="59"/>
    </row>
    <row r="158" spans="1:17" s="10" customFormat="1" ht="15.75" hidden="1" customHeight="1" x14ac:dyDescent="0.3">
      <c r="A158" s="49" t="s">
        <v>311</v>
      </c>
      <c r="B158" s="33" t="s">
        <v>25</v>
      </c>
      <c r="C158" s="37">
        <f>356400-78300+8729+12490-88169</f>
        <v>211150</v>
      </c>
      <c r="D158" s="37">
        <f>284000-75900</f>
        <v>208100</v>
      </c>
      <c r="E158" s="37"/>
      <c r="F158" s="37"/>
      <c r="G158" s="37"/>
      <c r="H158" s="37"/>
      <c r="I158" s="37">
        <f>495487-93412</f>
        <v>402075</v>
      </c>
      <c r="J158" s="37">
        <v>483061</v>
      </c>
      <c r="K158" s="37"/>
      <c r="L158" s="37">
        <f>300-210</f>
        <v>90</v>
      </c>
      <c r="M158" s="37"/>
      <c r="N158" s="37"/>
      <c r="O158" s="27">
        <f t="shared" si="29"/>
        <v>613315</v>
      </c>
      <c r="P158" s="59"/>
      <c r="Q158" s="59"/>
    </row>
    <row r="159" spans="1:17" s="10" customFormat="1" ht="31.5" customHeight="1" x14ac:dyDescent="0.3">
      <c r="A159" s="38" t="s">
        <v>134</v>
      </c>
      <c r="B159" s="50" t="s">
        <v>564</v>
      </c>
      <c r="C159" s="38">
        <f>C160+C161</f>
        <v>220216</v>
      </c>
      <c r="D159" s="38">
        <f>D160+D161</f>
        <v>300751</v>
      </c>
      <c r="E159" s="38">
        <f t="shared" ref="E159:N159" si="33">E160+E161</f>
        <v>0</v>
      </c>
      <c r="F159" s="38">
        <f t="shared" si="33"/>
        <v>0</v>
      </c>
      <c r="G159" s="38">
        <f t="shared" si="33"/>
        <v>0</v>
      </c>
      <c r="H159" s="38">
        <f t="shared" si="33"/>
        <v>0</v>
      </c>
      <c r="I159" s="38">
        <f t="shared" si="33"/>
        <v>248936</v>
      </c>
      <c r="J159" s="38">
        <f>J160+J161</f>
        <v>273472</v>
      </c>
      <c r="K159" s="38">
        <f t="shared" si="33"/>
        <v>0</v>
      </c>
      <c r="L159" s="38">
        <f t="shared" si="33"/>
        <v>11168</v>
      </c>
      <c r="M159" s="38">
        <f t="shared" si="33"/>
        <v>0</v>
      </c>
      <c r="N159" s="38">
        <f t="shared" si="33"/>
        <v>0</v>
      </c>
      <c r="O159" s="27">
        <f>C159+F159+I159+L159</f>
        <v>480320</v>
      </c>
      <c r="P159" s="59"/>
      <c r="Q159" s="59"/>
    </row>
    <row r="160" spans="1:17" s="10" customFormat="1" ht="15.75" hidden="1" customHeight="1" x14ac:dyDescent="0.3">
      <c r="A160" s="92" t="s">
        <v>195</v>
      </c>
      <c r="B160" s="33" t="s">
        <v>26</v>
      </c>
      <c r="C160" s="37">
        <f>87000+3764-29364</f>
        <v>61400</v>
      </c>
      <c r="D160" s="37">
        <v>83000</v>
      </c>
      <c r="E160" s="37"/>
      <c r="F160" s="37"/>
      <c r="G160" s="37"/>
      <c r="H160" s="37"/>
      <c r="I160" s="37">
        <f>50285-17342</f>
        <v>32943</v>
      </c>
      <c r="J160" s="37">
        <v>48360</v>
      </c>
      <c r="K160" s="37"/>
      <c r="L160" s="37">
        <f>21500-11652</f>
        <v>9848</v>
      </c>
      <c r="M160" s="37"/>
      <c r="N160" s="37"/>
      <c r="O160" s="27">
        <f>C160+F160+I160+L160</f>
        <v>104191</v>
      </c>
      <c r="P160" s="59"/>
      <c r="Q160" s="59"/>
    </row>
    <row r="161" spans="1:17" s="10" customFormat="1" ht="15.75" hidden="1" customHeight="1" x14ac:dyDescent="0.3">
      <c r="A161" s="49" t="s">
        <v>196</v>
      </c>
      <c r="B161" s="33" t="s">
        <v>25</v>
      </c>
      <c r="C161" s="37">
        <f>343900+3804-87000+1000-102888</f>
        <v>158816</v>
      </c>
      <c r="D161" s="37">
        <f>297000+3751-83000</f>
        <v>217751</v>
      </c>
      <c r="E161" s="37"/>
      <c r="F161" s="37"/>
      <c r="G161" s="37"/>
      <c r="H161" s="37"/>
      <c r="I161" s="37">
        <f>230727-14734</f>
        <v>215993</v>
      </c>
      <c r="J161" s="37">
        <v>225112</v>
      </c>
      <c r="K161" s="37"/>
      <c r="L161" s="37">
        <v>1320</v>
      </c>
      <c r="M161" s="37"/>
      <c r="N161" s="37"/>
      <c r="O161" s="27">
        <f>C161+F161+I161+L161</f>
        <v>376129</v>
      </c>
      <c r="P161" s="59"/>
      <c r="Q161" s="59"/>
    </row>
    <row r="162" spans="1:17" s="10" customFormat="1" ht="30" customHeight="1" x14ac:dyDescent="0.3">
      <c r="A162" s="38" t="s">
        <v>135</v>
      </c>
      <c r="B162" s="50" t="s">
        <v>565</v>
      </c>
      <c r="C162" s="117">
        <f>C163+C164+4700</f>
        <v>481351</v>
      </c>
      <c r="D162" s="38">
        <f>D163+D164</f>
        <v>377000</v>
      </c>
      <c r="E162" s="38">
        <f t="shared" ref="E162:N162" si="34">E163+E164</f>
        <v>0</v>
      </c>
      <c r="F162" s="38">
        <f>F163+F164+692+16688</f>
        <v>40898</v>
      </c>
      <c r="G162" s="38">
        <f t="shared" si="34"/>
        <v>5850</v>
      </c>
      <c r="H162" s="38">
        <f t="shared" si="34"/>
        <v>0</v>
      </c>
      <c r="I162" s="38">
        <f>I163+I164+67904</f>
        <v>799402</v>
      </c>
      <c r="J162" s="38">
        <f>J163+J164</f>
        <v>706878</v>
      </c>
      <c r="K162" s="38">
        <f t="shared" si="34"/>
        <v>0</v>
      </c>
      <c r="L162" s="38">
        <f>L163+L164+1200-4000</f>
        <v>25700</v>
      </c>
      <c r="M162" s="38">
        <f t="shared" si="34"/>
        <v>0</v>
      </c>
      <c r="N162" s="38">
        <f t="shared" si="34"/>
        <v>0</v>
      </c>
      <c r="O162" s="27">
        <f t="shared" si="29"/>
        <v>1347351</v>
      </c>
      <c r="P162" s="59"/>
      <c r="Q162" s="59"/>
    </row>
    <row r="163" spans="1:17" s="10" customFormat="1" ht="15.75" hidden="1" customHeight="1" x14ac:dyDescent="0.3">
      <c r="A163" s="92" t="s">
        <v>290</v>
      </c>
      <c r="B163" s="33" t="s">
        <v>26</v>
      </c>
      <c r="C163" s="37">
        <f>165300+2657</f>
        <v>167957</v>
      </c>
      <c r="D163" s="37">
        <f>160000</f>
        <v>160000</v>
      </c>
      <c r="E163" s="37"/>
      <c r="F163" s="37">
        <f>22798+720</f>
        <v>23518</v>
      </c>
      <c r="G163" s="37">
        <f>5850</f>
        <v>5850</v>
      </c>
      <c r="H163" s="37"/>
      <c r="I163" s="37">
        <v>159553</v>
      </c>
      <c r="J163" s="37">
        <v>154502</v>
      </c>
      <c r="K163" s="37"/>
      <c r="L163" s="37">
        <v>28500</v>
      </c>
      <c r="M163" s="37"/>
      <c r="N163" s="37"/>
      <c r="O163" s="27">
        <f t="shared" si="29"/>
        <v>379528</v>
      </c>
      <c r="P163" s="59"/>
      <c r="Q163" s="59"/>
    </row>
    <row r="164" spans="1:17" s="10" customFormat="1" ht="15.75" hidden="1" customHeight="1" x14ac:dyDescent="0.3">
      <c r="A164" s="49" t="s">
        <v>291</v>
      </c>
      <c r="B164" s="33" t="s">
        <v>25</v>
      </c>
      <c r="C164" s="37">
        <f>449400-165300+17080+7514</f>
        <v>308694</v>
      </c>
      <c r="D164" s="37">
        <f>377000-160000</f>
        <v>217000</v>
      </c>
      <c r="E164" s="37"/>
      <c r="F164" s="37"/>
      <c r="G164" s="37"/>
      <c r="H164" s="37"/>
      <c r="I164" s="37">
        <v>571945</v>
      </c>
      <c r="J164" s="37">
        <v>552376</v>
      </c>
      <c r="K164" s="37"/>
      <c r="L164" s="37"/>
      <c r="M164" s="37"/>
      <c r="N164" s="37"/>
      <c r="O164" s="27">
        <f t="shared" si="29"/>
        <v>880639</v>
      </c>
      <c r="P164" s="59"/>
      <c r="Q164" s="59"/>
    </row>
    <row r="165" spans="1:17" s="10" customFormat="1" ht="30.75" customHeight="1" x14ac:dyDescent="0.3">
      <c r="A165" s="38" t="s">
        <v>136</v>
      </c>
      <c r="B165" s="50" t="s">
        <v>566</v>
      </c>
      <c r="C165" s="38">
        <f>C166+C167</f>
        <v>259511</v>
      </c>
      <c r="D165" s="38">
        <f t="shared" ref="D165:L165" si="35">D166+D167</f>
        <v>342000</v>
      </c>
      <c r="E165" s="38">
        <f t="shared" si="35"/>
        <v>0</v>
      </c>
      <c r="F165" s="38">
        <f t="shared" si="35"/>
        <v>1440</v>
      </c>
      <c r="G165" s="38">
        <f t="shared" si="35"/>
        <v>0</v>
      </c>
      <c r="H165" s="38">
        <f t="shared" si="35"/>
        <v>0</v>
      </c>
      <c r="I165" s="38">
        <f t="shared" si="35"/>
        <v>354071</v>
      </c>
      <c r="J165" s="38">
        <f>J166+J167</f>
        <v>460148</v>
      </c>
      <c r="K165" s="38">
        <f t="shared" si="35"/>
        <v>0</v>
      </c>
      <c r="L165" s="38">
        <f t="shared" si="35"/>
        <v>8541</v>
      </c>
      <c r="M165" s="38">
        <f>M166+M167</f>
        <v>0</v>
      </c>
      <c r="N165" s="38">
        <f>N166+N167</f>
        <v>0</v>
      </c>
      <c r="O165" s="27">
        <f t="shared" si="29"/>
        <v>623563</v>
      </c>
      <c r="P165" s="59"/>
      <c r="Q165" s="59"/>
    </row>
    <row r="166" spans="1:17" s="10" customFormat="1" ht="15.75" hidden="1" customHeight="1" x14ac:dyDescent="0.3">
      <c r="A166" s="92" t="s">
        <v>169</v>
      </c>
      <c r="B166" s="33" t="s">
        <v>26</v>
      </c>
      <c r="C166" s="37">
        <f>124700-46331</f>
        <v>78369</v>
      </c>
      <c r="D166" s="37">
        <f>120500</f>
        <v>120500</v>
      </c>
      <c r="E166" s="37"/>
      <c r="F166" s="37">
        <v>1440</v>
      </c>
      <c r="G166" s="37"/>
      <c r="H166" s="37"/>
      <c r="I166" s="37">
        <f>31614-12190</f>
        <v>19424</v>
      </c>
      <c r="J166" s="37">
        <v>30000</v>
      </c>
      <c r="K166" s="37"/>
      <c r="L166" s="37">
        <f>10960-2419</f>
        <v>8541</v>
      </c>
      <c r="M166" s="37"/>
      <c r="N166" s="37"/>
      <c r="O166" s="27">
        <f t="shared" si="29"/>
        <v>107774</v>
      </c>
      <c r="P166" s="59"/>
      <c r="Q166" s="59"/>
    </row>
    <row r="167" spans="1:17" s="10" customFormat="1" ht="15.75" hidden="1" customHeight="1" x14ac:dyDescent="0.3">
      <c r="A167" s="49" t="s">
        <v>170</v>
      </c>
      <c r="B167" s="33" t="s">
        <v>25</v>
      </c>
      <c r="C167" s="37">
        <f>430900-124700+3500+6885-135443</f>
        <v>181142</v>
      </c>
      <c r="D167" s="37">
        <f>342000-120500</f>
        <v>221500</v>
      </c>
      <c r="E167" s="37"/>
      <c r="F167" s="37"/>
      <c r="G167" s="37"/>
      <c r="H167" s="37"/>
      <c r="I167" s="37">
        <f>442267-107620</f>
        <v>334647</v>
      </c>
      <c r="J167" s="37">
        <v>430148</v>
      </c>
      <c r="K167" s="37"/>
      <c r="L167" s="37"/>
      <c r="M167" s="37"/>
      <c r="N167" s="37"/>
      <c r="O167" s="27">
        <f t="shared" si="29"/>
        <v>515789</v>
      </c>
      <c r="P167" s="59"/>
      <c r="Q167" s="59"/>
    </row>
    <row r="168" spans="1:17" s="10" customFormat="1" ht="15.6" x14ac:dyDescent="0.3">
      <c r="A168" s="38" t="s">
        <v>137</v>
      </c>
      <c r="B168" s="50" t="s">
        <v>567</v>
      </c>
      <c r="C168" s="38">
        <f>C169+C170</f>
        <v>437813</v>
      </c>
      <c r="D168" s="38">
        <f t="shared" ref="D168:K168" si="36">D169+D170</f>
        <v>311000</v>
      </c>
      <c r="E168" s="38">
        <f t="shared" si="36"/>
        <v>0</v>
      </c>
      <c r="F168" s="38">
        <f>F169+F170+305+11126</f>
        <v>22830</v>
      </c>
      <c r="G168" s="38">
        <f t="shared" si="36"/>
        <v>6765</v>
      </c>
      <c r="H168" s="38">
        <f t="shared" si="36"/>
        <v>0</v>
      </c>
      <c r="I168" s="38">
        <f>I169+I170+18604</f>
        <v>606732</v>
      </c>
      <c r="J168" s="38">
        <f>J169+J170</f>
        <v>571002</v>
      </c>
      <c r="K168" s="38">
        <f t="shared" si="36"/>
        <v>0</v>
      </c>
      <c r="L168" s="38">
        <f>L169+L170+1220+220-4200</f>
        <v>9350</v>
      </c>
      <c r="M168" s="38">
        <f>M169+M170</f>
        <v>0</v>
      </c>
      <c r="N168" s="38">
        <f>N169+N170</f>
        <v>0</v>
      </c>
      <c r="O168" s="27">
        <f t="shared" si="29"/>
        <v>1076725</v>
      </c>
      <c r="P168" s="59"/>
      <c r="Q168" s="59"/>
    </row>
    <row r="169" spans="1:17" s="10" customFormat="1" ht="15.75" hidden="1" customHeight="1" x14ac:dyDescent="0.3">
      <c r="A169" s="49" t="s">
        <v>189</v>
      </c>
      <c r="B169" s="33" t="s">
        <v>26</v>
      </c>
      <c r="C169" s="37">
        <f>118700+6396</f>
        <v>125096</v>
      </c>
      <c r="D169" s="37">
        <f>115700</f>
        <v>115700</v>
      </c>
      <c r="E169" s="37"/>
      <c r="F169" s="37">
        <f>11399</f>
        <v>11399</v>
      </c>
      <c r="G169" s="37">
        <f>6765</f>
        <v>6765</v>
      </c>
      <c r="H169" s="37"/>
      <c r="I169" s="37">
        <v>75359</v>
      </c>
      <c r="J169" s="37">
        <v>73075</v>
      </c>
      <c r="K169" s="37"/>
      <c r="L169" s="37">
        <v>12110</v>
      </c>
      <c r="M169" s="37"/>
      <c r="N169" s="37"/>
      <c r="O169" s="27">
        <f t="shared" si="29"/>
        <v>223964</v>
      </c>
      <c r="P169" s="59"/>
      <c r="Q169" s="59"/>
    </row>
    <row r="170" spans="1:17" s="10" customFormat="1" ht="15.75" hidden="1" customHeight="1" x14ac:dyDescent="0.3">
      <c r="A170" s="49" t="s">
        <v>190</v>
      </c>
      <c r="B170" s="33" t="s">
        <v>25</v>
      </c>
      <c r="C170" s="37">
        <f>402300-118700+13376+15741</f>
        <v>312717</v>
      </c>
      <c r="D170" s="37">
        <f>311000-115700</f>
        <v>195300</v>
      </c>
      <c r="E170" s="37"/>
      <c r="F170" s="37"/>
      <c r="G170" s="37"/>
      <c r="H170" s="37"/>
      <c r="I170" s="37">
        <v>512769</v>
      </c>
      <c r="J170" s="37">
        <v>497927</v>
      </c>
      <c r="K170" s="37"/>
      <c r="L170" s="37"/>
      <c r="M170" s="37"/>
      <c r="N170" s="37"/>
      <c r="O170" s="27">
        <f t="shared" si="29"/>
        <v>825486</v>
      </c>
      <c r="P170" s="59"/>
      <c r="Q170" s="59"/>
    </row>
    <row r="171" spans="1:17" s="10" customFormat="1" ht="15.75" customHeight="1" x14ac:dyDescent="0.3">
      <c r="A171" s="38" t="s">
        <v>138</v>
      </c>
      <c r="B171" s="96" t="s">
        <v>568</v>
      </c>
      <c r="C171" s="38">
        <f>C172+C173</f>
        <v>258406</v>
      </c>
      <c r="D171" s="38">
        <f t="shared" ref="D171:N171" si="37">D172+D173</f>
        <v>294000</v>
      </c>
      <c r="E171" s="38">
        <f t="shared" si="37"/>
        <v>0</v>
      </c>
      <c r="F171" s="38">
        <f t="shared" si="37"/>
        <v>0</v>
      </c>
      <c r="G171" s="38">
        <f t="shared" si="37"/>
        <v>0</v>
      </c>
      <c r="H171" s="38">
        <f t="shared" si="37"/>
        <v>0</v>
      </c>
      <c r="I171" s="38">
        <f t="shared" si="37"/>
        <v>277116</v>
      </c>
      <c r="J171" s="38">
        <f>J172+J173</f>
        <v>378466</v>
      </c>
      <c r="K171" s="38">
        <f t="shared" si="37"/>
        <v>0</v>
      </c>
      <c r="L171" s="38">
        <f t="shared" si="37"/>
        <v>11843</v>
      </c>
      <c r="M171" s="38">
        <f t="shared" si="37"/>
        <v>0</v>
      </c>
      <c r="N171" s="38">
        <f t="shared" si="37"/>
        <v>0</v>
      </c>
      <c r="O171" s="27">
        <f t="shared" si="29"/>
        <v>547365</v>
      </c>
      <c r="P171" s="59"/>
      <c r="Q171" s="59"/>
    </row>
    <row r="172" spans="1:17" s="10" customFormat="1" ht="15.75" hidden="1" customHeight="1" x14ac:dyDescent="0.3">
      <c r="A172" s="49" t="s">
        <v>81</v>
      </c>
      <c r="B172" s="33" t="s">
        <v>26</v>
      </c>
      <c r="C172" s="37">
        <f>138700+1848-57136</f>
        <v>83412</v>
      </c>
      <c r="D172" s="37">
        <v>136000</v>
      </c>
      <c r="E172" s="37"/>
      <c r="F172" s="37"/>
      <c r="G172" s="37"/>
      <c r="H172" s="37"/>
      <c r="I172" s="37">
        <f>73991-22176</f>
        <v>51815</v>
      </c>
      <c r="J172" s="37">
        <v>71905</v>
      </c>
      <c r="K172" s="37"/>
      <c r="L172" s="37">
        <f>13880-2037</f>
        <v>11843</v>
      </c>
      <c r="M172" s="37"/>
      <c r="N172" s="37"/>
      <c r="O172" s="27">
        <f t="shared" si="29"/>
        <v>147070</v>
      </c>
      <c r="P172" s="59"/>
      <c r="Q172" s="59"/>
    </row>
    <row r="173" spans="1:17" s="10" customFormat="1" ht="15.75" hidden="1" customHeight="1" x14ac:dyDescent="0.3">
      <c r="A173" s="49" t="s">
        <v>82</v>
      </c>
      <c r="B173" s="33" t="s">
        <v>25</v>
      </c>
      <c r="C173" s="37">
        <f>356100-138700+10749+11051-64206</f>
        <v>174994</v>
      </c>
      <c r="D173" s="37">
        <f>294000-136000</f>
        <v>158000</v>
      </c>
      <c r="E173" s="37"/>
      <c r="F173" s="37"/>
      <c r="G173" s="37"/>
      <c r="H173" s="37"/>
      <c r="I173" s="37">
        <f>315226-89925</f>
        <v>225301</v>
      </c>
      <c r="J173" s="37">
        <v>306561</v>
      </c>
      <c r="K173" s="37"/>
      <c r="L173" s="37"/>
      <c r="M173" s="37"/>
      <c r="N173" s="37"/>
      <c r="O173" s="27">
        <f t="shared" si="29"/>
        <v>400295</v>
      </c>
      <c r="P173" s="59"/>
      <c r="Q173" s="59"/>
    </row>
    <row r="174" spans="1:17" s="10" customFormat="1" ht="15.75" customHeight="1" x14ac:dyDescent="0.3">
      <c r="A174" s="38" t="s">
        <v>139</v>
      </c>
      <c r="B174" s="90" t="s">
        <v>569</v>
      </c>
      <c r="C174" s="38">
        <f>C175+C176</f>
        <v>571879</v>
      </c>
      <c r="D174" s="38">
        <f t="shared" ref="D174:K174" si="38">D175+D176</f>
        <v>491000</v>
      </c>
      <c r="E174" s="38">
        <f t="shared" si="38"/>
        <v>0</v>
      </c>
      <c r="F174" s="38">
        <f>F175+F176+1098+5563</f>
        <v>25662</v>
      </c>
      <c r="G174" s="38">
        <f t="shared" si="38"/>
        <v>8000</v>
      </c>
      <c r="H174" s="38">
        <f t="shared" si="38"/>
        <v>0</v>
      </c>
      <c r="I174" s="38">
        <f>I175+I176+2651</f>
        <v>441314</v>
      </c>
      <c r="J174" s="38">
        <f>J175+J176</f>
        <v>423456</v>
      </c>
      <c r="K174" s="38">
        <f t="shared" si="38"/>
        <v>0</v>
      </c>
      <c r="L174" s="38">
        <f>L175+L176-13888</f>
        <v>45192</v>
      </c>
      <c r="M174" s="38">
        <f>M175+M176</f>
        <v>0</v>
      </c>
      <c r="N174" s="38">
        <f>N175+N176</f>
        <v>0</v>
      </c>
      <c r="O174" s="27">
        <f t="shared" si="29"/>
        <v>1084047</v>
      </c>
      <c r="P174" s="59"/>
      <c r="Q174" s="59"/>
    </row>
    <row r="175" spans="1:17" s="10" customFormat="1" ht="15.75" hidden="1" customHeight="1" x14ac:dyDescent="0.3">
      <c r="A175" s="49" t="s">
        <v>84</v>
      </c>
      <c r="B175" s="33" t="s">
        <v>26</v>
      </c>
      <c r="C175" s="37">
        <f>560800-62600+9916+342</f>
        <v>508458</v>
      </c>
      <c r="D175" s="37">
        <f>491000-49000</f>
        <v>442000</v>
      </c>
      <c r="E175" s="37"/>
      <c r="F175" s="37">
        <f>15199+2160</f>
        <v>17359</v>
      </c>
      <c r="G175" s="37">
        <f>8000</f>
        <v>8000</v>
      </c>
      <c r="H175" s="37"/>
      <c r="I175" s="37">
        <v>269865</v>
      </c>
      <c r="J175" s="37">
        <v>261682</v>
      </c>
      <c r="K175" s="37"/>
      <c r="L175" s="37">
        <v>55620</v>
      </c>
      <c r="M175" s="37"/>
      <c r="N175" s="37"/>
      <c r="O175" s="27">
        <f t="shared" si="29"/>
        <v>851302</v>
      </c>
      <c r="P175" s="59"/>
      <c r="Q175" s="59"/>
    </row>
    <row r="176" spans="1:17" s="10" customFormat="1" ht="15.75" hidden="1" customHeight="1" x14ac:dyDescent="0.3">
      <c r="A176" s="49" t="s">
        <v>85</v>
      </c>
      <c r="B176" s="33" t="s">
        <v>25</v>
      </c>
      <c r="C176" s="37">
        <f>62600+821</f>
        <v>63421</v>
      </c>
      <c r="D176" s="37">
        <v>49000</v>
      </c>
      <c r="E176" s="37"/>
      <c r="F176" s="37">
        <f>1642</f>
        <v>1642</v>
      </c>
      <c r="G176" s="37"/>
      <c r="H176" s="37"/>
      <c r="I176" s="37">
        <v>168798</v>
      </c>
      <c r="J176" s="37">
        <v>161774</v>
      </c>
      <c r="K176" s="37"/>
      <c r="L176" s="37">
        <v>3460</v>
      </c>
      <c r="M176" s="37"/>
      <c r="N176" s="37"/>
      <c r="O176" s="27">
        <f t="shared" si="29"/>
        <v>237321</v>
      </c>
      <c r="P176" s="59"/>
      <c r="Q176" s="59"/>
    </row>
    <row r="177" spans="1:17" s="10" customFormat="1" ht="15.75" customHeight="1" x14ac:dyDescent="0.3">
      <c r="A177" s="38" t="s">
        <v>140</v>
      </c>
      <c r="B177" s="50" t="s">
        <v>570</v>
      </c>
      <c r="C177" s="38">
        <f t="shared" ref="C177:N177" si="39">C178+C179</f>
        <v>819282</v>
      </c>
      <c r="D177" s="38">
        <f t="shared" si="39"/>
        <v>737900</v>
      </c>
      <c r="E177" s="38">
        <f t="shared" si="39"/>
        <v>0</v>
      </c>
      <c r="F177" s="38">
        <f>F178+F179+2161+8344</f>
        <v>36556</v>
      </c>
      <c r="G177" s="38">
        <f t="shared" si="39"/>
        <v>2215</v>
      </c>
      <c r="H177" s="38">
        <f t="shared" si="39"/>
        <v>0</v>
      </c>
      <c r="I177" s="38">
        <f>I178+I179+36592</f>
        <v>604838</v>
      </c>
      <c r="J177" s="38">
        <f t="shared" si="39"/>
        <v>550295</v>
      </c>
      <c r="K177" s="38">
        <f t="shared" si="39"/>
        <v>0</v>
      </c>
      <c r="L177" s="38">
        <f t="shared" si="39"/>
        <v>107060</v>
      </c>
      <c r="M177" s="38">
        <f t="shared" si="39"/>
        <v>0</v>
      </c>
      <c r="N177" s="38">
        <f t="shared" si="39"/>
        <v>0</v>
      </c>
      <c r="O177" s="27">
        <f>C177+F177+I177+L177</f>
        <v>1567736</v>
      </c>
      <c r="P177" s="59"/>
      <c r="Q177" s="59"/>
    </row>
    <row r="178" spans="1:17" s="10" customFormat="1" ht="15.75" hidden="1" customHeight="1" x14ac:dyDescent="0.3">
      <c r="A178" s="49" t="s">
        <v>292</v>
      </c>
      <c r="B178" s="33" t="s">
        <v>26</v>
      </c>
      <c r="C178" s="37">
        <f>830600-16000-35510+3356+1326</f>
        <v>783772</v>
      </c>
      <c r="D178" s="37">
        <f>737900-35000</f>
        <v>702900</v>
      </c>
      <c r="E178" s="37"/>
      <c r="F178" s="37">
        <f>3800+16000+3600+2651</f>
        <v>26051</v>
      </c>
      <c r="G178" s="37">
        <f>2215</f>
        <v>2215</v>
      </c>
      <c r="H178" s="37"/>
      <c r="I178" s="37">
        <v>476217</v>
      </c>
      <c r="J178" s="37">
        <v>460304</v>
      </c>
      <c r="K178" s="38"/>
      <c r="L178" s="37">
        <f>1500+85100+20460</f>
        <v>107060</v>
      </c>
      <c r="M178" s="37"/>
      <c r="N178" s="37"/>
      <c r="O178" s="27">
        <f>C178+F178+I178+L178</f>
        <v>1393100</v>
      </c>
      <c r="P178" s="59"/>
      <c r="Q178" s="59"/>
    </row>
    <row r="179" spans="1:17" s="10" customFormat="1" ht="15.75" hidden="1" customHeight="1" x14ac:dyDescent="0.3">
      <c r="A179" s="49" t="s">
        <v>293</v>
      </c>
      <c r="B179" s="33" t="s">
        <v>25</v>
      </c>
      <c r="C179" s="37">
        <v>35510</v>
      </c>
      <c r="D179" s="37">
        <v>35000</v>
      </c>
      <c r="E179" s="37"/>
      <c r="F179" s="37"/>
      <c r="G179" s="37"/>
      <c r="H179" s="37"/>
      <c r="I179" s="37">
        <v>92029</v>
      </c>
      <c r="J179" s="37">
        <v>89991</v>
      </c>
      <c r="K179" s="37"/>
      <c r="L179" s="37"/>
      <c r="M179" s="37"/>
      <c r="N179" s="37"/>
      <c r="O179" s="27">
        <f>C179+F179+I179+L179</f>
        <v>127539</v>
      </c>
      <c r="P179" s="59"/>
      <c r="Q179" s="59"/>
    </row>
    <row r="180" spans="1:17" s="10" customFormat="1" ht="15.75" customHeight="1" x14ac:dyDescent="0.3">
      <c r="A180" s="38" t="s">
        <v>141</v>
      </c>
      <c r="B180" s="90" t="s">
        <v>18</v>
      </c>
      <c r="C180" s="38">
        <f>813000+5003</f>
        <v>818003</v>
      </c>
      <c r="D180" s="38">
        <v>734000</v>
      </c>
      <c r="E180" s="38"/>
      <c r="F180" s="38">
        <f>30397+720+2260+8344</f>
        <v>41721</v>
      </c>
      <c r="G180" s="38">
        <f>9956</f>
        <v>9956</v>
      </c>
      <c r="H180" s="38"/>
      <c r="I180" s="38">
        <v>520690</v>
      </c>
      <c r="J180" s="38">
        <v>503396</v>
      </c>
      <c r="K180" s="38"/>
      <c r="L180" s="38">
        <f>130+142130-30000</f>
        <v>112260</v>
      </c>
      <c r="M180" s="38"/>
      <c r="N180" s="38"/>
      <c r="O180" s="27">
        <f t="shared" si="29"/>
        <v>1492674</v>
      </c>
      <c r="P180" s="59"/>
      <c r="Q180" s="59"/>
    </row>
    <row r="181" spans="1:17" s="10" customFormat="1" ht="15.75" customHeight="1" x14ac:dyDescent="0.3">
      <c r="A181" s="38" t="s">
        <v>142</v>
      </c>
      <c r="B181" s="50" t="s">
        <v>35</v>
      </c>
      <c r="C181" s="38">
        <v>681300</v>
      </c>
      <c r="D181" s="38">
        <v>648000</v>
      </c>
      <c r="E181" s="38"/>
      <c r="F181" s="38">
        <f>2236</f>
        <v>2236</v>
      </c>
      <c r="G181" s="38"/>
      <c r="H181" s="38"/>
      <c r="I181" s="38">
        <f>54900+4510</f>
        <v>59410</v>
      </c>
      <c r="J181" s="38">
        <v>54115</v>
      </c>
      <c r="K181" s="38"/>
      <c r="L181" s="38">
        <v>53860</v>
      </c>
      <c r="M181" s="38">
        <v>23000</v>
      </c>
      <c r="N181" s="38"/>
      <c r="O181" s="27">
        <f t="shared" si="29"/>
        <v>796806</v>
      </c>
      <c r="P181" s="59"/>
      <c r="Q181" s="59"/>
    </row>
    <row r="182" spans="1:17" s="10" customFormat="1" ht="30.75" customHeight="1" x14ac:dyDescent="0.3">
      <c r="A182" s="38" t="s">
        <v>143</v>
      </c>
      <c r="B182" s="50" t="s">
        <v>424</v>
      </c>
      <c r="C182" s="38">
        <f>183600+4890+310</f>
        <v>188800</v>
      </c>
      <c r="D182" s="38">
        <v>152000</v>
      </c>
      <c r="E182" s="38"/>
      <c r="F182" s="38">
        <v>51979</v>
      </c>
      <c r="G182" s="38">
        <v>51237</v>
      </c>
      <c r="H182" s="38"/>
      <c r="I182" s="38">
        <f>116983+12413</f>
        <v>129396</v>
      </c>
      <c r="J182" s="38">
        <v>115312</v>
      </c>
      <c r="K182" s="38"/>
      <c r="L182" s="38">
        <f>11170+23580-3200+16800</f>
        <v>48350</v>
      </c>
      <c r="M182" s="38">
        <v>1670</v>
      </c>
      <c r="N182" s="38"/>
      <c r="O182" s="27">
        <f t="shared" si="29"/>
        <v>418525</v>
      </c>
      <c r="P182" s="59"/>
      <c r="Q182" s="59"/>
    </row>
    <row r="183" spans="1:17" s="12" customFormat="1" ht="18" customHeight="1" x14ac:dyDescent="0.3">
      <c r="A183" s="38" t="s">
        <v>144</v>
      </c>
      <c r="B183" s="42" t="s">
        <v>34</v>
      </c>
      <c r="C183" s="38">
        <f>SUM(C184:E196)</f>
        <v>727200</v>
      </c>
      <c r="D183" s="38">
        <f t="shared" ref="D183:N183" si="40">SUM(D184:D194)</f>
        <v>0</v>
      </c>
      <c r="E183" s="38">
        <f t="shared" si="40"/>
        <v>0</v>
      </c>
      <c r="F183" s="38">
        <f>SUM(F184:F196)</f>
        <v>689987</v>
      </c>
      <c r="G183" s="38">
        <f>SUM(G184:I195)</f>
        <v>0</v>
      </c>
      <c r="H183" s="38">
        <f>SUM(H184:J195)</f>
        <v>195370</v>
      </c>
      <c r="I183" s="38">
        <f>SUM(I184:I196)</f>
        <v>0</v>
      </c>
      <c r="J183" s="38">
        <f t="shared" si="40"/>
        <v>195370</v>
      </c>
      <c r="K183" s="38">
        <f t="shared" si="40"/>
        <v>0</v>
      </c>
      <c r="L183" s="38">
        <f>SUM(L184:L196)</f>
        <v>0</v>
      </c>
      <c r="M183" s="38">
        <f t="shared" si="40"/>
        <v>0</v>
      </c>
      <c r="N183" s="38">
        <f t="shared" si="40"/>
        <v>0</v>
      </c>
      <c r="O183" s="27">
        <f>C183+F183+I183+L183</f>
        <v>1417187</v>
      </c>
      <c r="P183" s="59"/>
      <c r="Q183" s="59"/>
    </row>
    <row r="184" spans="1:17" s="10" customFormat="1" ht="15" customHeight="1" x14ac:dyDescent="0.3">
      <c r="A184" s="49" t="s">
        <v>312</v>
      </c>
      <c r="B184" s="33" t="s">
        <v>31</v>
      </c>
      <c r="C184" s="115">
        <f>380000+166000+25000</f>
        <v>571000</v>
      </c>
      <c r="D184" s="37"/>
      <c r="E184" s="37"/>
      <c r="F184" s="38"/>
      <c r="G184" s="37"/>
      <c r="H184" s="37"/>
      <c r="I184" s="38"/>
      <c r="J184" s="38"/>
      <c r="K184" s="37"/>
      <c r="L184" s="38"/>
      <c r="M184" s="37"/>
      <c r="N184" s="37"/>
      <c r="O184" s="27">
        <f t="shared" si="29"/>
        <v>571000</v>
      </c>
      <c r="P184" s="59"/>
      <c r="Q184" s="59"/>
    </row>
    <row r="185" spans="1:17" s="10" customFormat="1" ht="28.5" customHeight="1" x14ac:dyDescent="0.3">
      <c r="A185" s="49" t="s">
        <v>313</v>
      </c>
      <c r="B185" s="33" t="s">
        <v>184</v>
      </c>
      <c r="C185" s="37">
        <f>14000+1293</f>
        <v>15293</v>
      </c>
      <c r="D185" s="37"/>
      <c r="E185" s="37"/>
      <c r="F185" s="38"/>
      <c r="G185" s="37"/>
      <c r="H185" s="37"/>
      <c r="I185" s="38"/>
      <c r="J185" s="38"/>
      <c r="K185" s="37"/>
      <c r="L185" s="38"/>
      <c r="M185" s="37"/>
      <c r="N185" s="37"/>
      <c r="O185" s="27">
        <f t="shared" si="29"/>
        <v>15293</v>
      </c>
      <c r="P185" s="59"/>
      <c r="Q185" s="59"/>
    </row>
    <row r="186" spans="1:17" s="13" customFormat="1" ht="27.75" customHeight="1" x14ac:dyDescent="0.25">
      <c r="A186" s="49" t="s">
        <v>314</v>
      </c>
      <c r="B186" s="33" t="s">
        <v>152</v>
      </c>
      <c r="C186" s="37">
        <v>9000</v>
      </c>
      <c r="D186" s="37"/>
      <c r="E186" s="39"/>
      <c r="F186" s="40"/>
      <c r="G186" s="39"/>
      <c r="H186" s="39"/>
      <c r="I186" s="40"/>
      <c r="J186" s="40"/>
      <c r="K186" s="39"/>
      <c r="L186" s="40"/>
      <c r="M186" s="39"/>
      <c r="N186" s="39"/>
      <c r="O186" s="27">
        <f t="shared" si="29"/>
        <v>9000</v>
      </c>
      <c r="P186" s="61"/>
      <c r="Q186" s="61"/>
    </row>
    <row r="187" spans="1:17" s="13" customFormat="1" ht="17.25" customHeight="1" x14ac:dyDescent="0.25">
      <c r="A187" s="49" t="s">
        <v>315</v>
      </c>
      <c r="B187" s="33" t="s">
        <v>197</v>
      </c>
      <c r="C187" s="37"/>
      <c r="D187" s="37"/>
      <c r="E187" s="39"/>
      <c r="F187" s="37">
        <f>142200-4060</f>
        <v>138140</v>
      </c>
      <c r="G187" s="39"/>
      <c r="H187" s="39"/>
      <c r="I187" s="40"/>
      <c r="J187" s="40"/>
      <c r="K187" s="39"/>
      <c r="L187" s="40"/>
      <c r="M187" s="39"/>
      <c r="N187" s="39"/>
      <c r="O187" s="27">
        <f t="shared" si="29"/>
        <v>138140</v>
      </c>
      <c r="P187" s="61"/>
      <c r="Q187" s="61"/>
    </row>
    <row r="188" spans="1:17" s="10" customFormat="1" ht="29.25" customHeight="1" x14ac:dyDescent="0.3">
      <c r="A188" s="53" t="s">
        <v>316</v>
      </c>
      <c r="B188" s="33" t="s">
        <v>368</v>
      </c>
      <c r="C188" s="37">
        <f>12000-1293</f>
        <v>10707</v>
      </c>
      <c r="D188" s="37"/>
      <c r="E188" s="37"/>
      <c r="F188" s="37"/>
      <c r="G188" s="37"/>
      <c r="H188" s="37"/>
      <c r="I188" s="38"/>
      <c r="J188" s="37"/>
      <c r="K188" s="37"/>
      <c r="L188" s="38"/>
      <c r="M188" s="37"/>
      <c r="N188" s="37"/>
      <c r="O188" s="27">
        <f t="shared" si="29"/>
        <v>10707</v>
      </c>
      <c r="P188" s="59"/>
      <c r="Q188" s="59"/>
    </row>
    <row r="189" spans="1:17" s="10" customFormat="1" ht="16.5" customHeight="1" x14ac:dyDescent="0.3">
      <c r="A189" s="49" t="s">
        <v>317</v>
      </c>
      <c r="B189" s="33" t="s">
        <v>319</v>
      </c>
      <c r="C189" s="37">
        <v>90000</v>
      </c>
      <c r="D189" s="37"/>
      <c r="E189" s="37"/>
      <c r="F189" s="37"/>
      <c r="G189" s="37"/>
      <c r="H189" s="37"/>
      <c r="I189" s="38"/>
      <c r="J189" s="37"/>
      <c r="K189" s="37"/>
      <c r="L189" s="38"/>
      <c r="M189" s="37"/>
      <c r="N189" s="37"/>
      <c r="O189" s="27">
        <f t="shared" si="29"/>
        <v>90000</v>
      </c>
      <c r="P189" s="59"/>
      <c r="Q189" s="59"/>
    </row>
    <row r="190" spans="1:17" s="10" customFormat="1" ht="15" customHeight="1" x14ac:dyDescent="0.3">
      <c r="A190" s="49" t="s">
        <v>318</v>
      </c>
      <c r="B190" s="33" t="s">
        <v>370</v>
      </c>
      <c r="C190" s="37">
        <v>11000</v>
      </c>
      <c r="D190" s="37"/>
      <c r="E190" s="37"/>
      <c r="F190" s="38"/>
      <c r="G190" s="37"/>
      <c r="H190" s="37"/>
      <c r="I190" s="38"/>
      <c r="J190" s="38"/>
      <c r="K190" s="37"/>
      <c r="L190" s="38"/>
      <c r="M190" s="37"/>
      <c r="N190" s="37"/>
      <c r="O190" s="27">
        <f t="shared" ref="O190:O194" si="41">C190+F190+I190+L190</f>
        <v>11000</v>
      </c>
      <c r="P190" s="59"/>
      <c r="Q190" s="59"/>
    </row>
    <row r="191" spans="1:17" s="10" customFormat="1" ht="16.5" customHeight="1" x14ac:dyDescent="0.3">
      <c r="A191" s="49" t="s">
        <v>369</v>
      </c>
      <c r="B191" s="33" t="s">
        <v>351</v>
      </c>
      <c r="C191" s="37">
        <f>27000-6800</f>
        <v>20200</v>
      </c>
      <c r="D191" s="37"/>
      <c r="E191" s="37"/>
      <c r="F191" s="38"/>
      <c r="G191" s="37"/>
      <c r="H191" s="37"/>
      <c r="I191" s="38"/>
      <c r="J191" s="38"/>
      <c r="K191" s="37"/>
      <c r="L191" s="38"/>
      <c r="M191" s="37"/>
      <c r="N191" s="37"/>
      <c r="O191" s="27">
        <f t="shared" si="41"/>
        <v>20200</v>
      </c>
      <c r="P191" s="59"/>
      <c r="Q191" s="59"/>
    </row>
    <row r="192" spans="1:17" s="10" customFormat="1" ht="17.25" customHeight="1" x14ac:dyDescent="0.3">
      <c r="A192" s="49" t="s">
        <v>320</v>
      </c>
      <c r="B192" s="33" t="s">
        <v>371</v>
      </c>
      <c r="C192" s="37"/>
      <c r="D192" s="37"/>
      <c r="E192" s="37"/>
      <c r="F192" s="38"/>
      <c r="G192" s="37"/>
      <c r="H192" s="37"/>
      <c r="I192" s="38">
        <f>195370-195370</f>
        <v>0</v>
      </c>
      <c r="J192" s="37">
        <v>195370</v>
      </c>
      <c r="K192" s="37"/>
      <c r="L192" s="38"/>
      <c r="M192" s="37"/>
      <c r="N192" s="37"/>
      <c r="O192" s="27">
        <f t="shared" si="41"/>
        <v>0</v>
      </c>
      <c r="P192" s="59"/>
      <c r="Q192" s="59"/>
    </row>
    <row r="193" spans="1:17" s="10" customFormat="1" ht="31.5" customHeight="1" x14ac:dyDescent="0.3">
      <c r="A193" s="49" t="s">
        <v>425</v>
      </c>
      <c r="B193" s="33" t="s">
        <v>391</v>
      </c>
      <c r="C193" s="37"/>
      <c r="D193" s="37"/>
      <c r="E193" s="37"/>
      <c r="F193" s="38">
        <f>10559+1259</f>
        <v>11818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11818</v>
      </c>
      <c r="P193" s="59"/>
      <c r="Q193" s="59"/>
    </row>
    <row r="194" spans="1:17" s="10" customFormat="1" ht="17.25" customHeight="1" x14ac:dyDescent="0.3">
      <c r="A194" s="49" t="s">
        <v>372</v>
      </c>
      <c r="B194" s="33" t="s">
        <v>461</v>
      </c>
      <c r="C194" s="37"/>
      <c r="D194" s="37"/>
      <c r="E194" s="37"/>
      <c r="F194" s="38">
        <f>40334+247389+220153</f>
        <v>507876</v>
      </c>
      <c r="G194" s="37"/>
      <c r="H194" s="37"/>
      <c r="I194" s="38"/>
      <c r="J194" s="37"/>
      <c r="K194" s="37"/>
      <c r="L194" s="38"/>
      <c r="M194" s="37"/>
      <c r="N194" s="37"/>
      <c r="O194" s="27">
        <f t="shared" si="41"/>
        <v>507876</v>
      </c>
      <c r="P194" s="59"/>
      <c r="Q194" s="59"/>
    </row>
    <row r="195" spans="1:17" s="10" customFormat="1" ht="31.5" customHeight="1" x14ac:dyDescent="0.3">
      <c r="A195" s="49" t="s">
        <v>517</v>
      </c>
      <c r="B195" s="33" t="s">
        <v>518</v>
      </c>
      <c r="C195" s="37"/>
      <c r="D195" s="37"/>
      <c r="E195" s="37"/>
      <c r="F195" s="38">
        <f>6749-6749</f>
        <v>0</v>
      </c>
      <c r="G195" s="37"/>
      <c r="H195" s="37"/>
      <c r="I195" s="38"/>
      <c r="J195" s="37"/>
      <c r="K195" s="37"/>
      <c r="L195" s="38"/>
      <c r="M195" s="37"/>
      <c r="N195" s="37"/>
      <c r="O195" s="27">
        <f>C195+F195+I195+L195</f>
        <v>0</v>
      </c>
      <c r="P195" s="59"/>
      <c r="Q195" s="59"/>
    </row>
    <row r="196" spans="1:17" s="10" customFormat="1" ht="31.5" customHeight="1" x14ac:dyDescent="0.3">
      <c r="A196" s="49" t="s">
        <v>590</v>
      </c>
      <c r="B196" s="120" t="s">
        <v>591</v>
      </c>
      <c r="C196" s="37"/>
      <c r="D196" s="37"/>
      <c r="E196" s="37"/>
      <c r="F196" s="117">
        <v>32153</v>
      </c>
      <c r="G196" s="37"/>
      <c r="H196" s="37"/>
      <c r="I196" s="38"/>
      <c r="J196" s="37"/>
      <c r="K196" s="37"/>
      <c r="L196" s="38"/>
      <c r="M196" s="37"/>
      <c r="N196" s="37"/>
      <c r="O196" s="27">
        <f>C196+F196+I196+L196</f>
        <v>32153</v>
      </c>
      <c r="P196" s="59"/>
      <c r="Q196" s="59"/>
    </row>
    <row r="197" spans="1:17" s="9" customFormat="1" ht="15.75" customHeight="1" x14ac:dyDescent="0.25">
      <c r="A197" s="27" t="s">
        <v>145</v>
      </c>
      <c r="B197" s="42" t="s">
        <v>23</v>
      </c>
      <c r="C197" s="27">
        <f>C198+C199+C200+C201+C202+C203</f>
        <v>280000</v>
      </c>
      <c r="D197" s="27">
        <f t="shared" ref="D197:O197" si="42">D198+D199+D200+D201+D202+D203</f>
        <v>0</v>
      </c>
      <c r="E197" s="27">
        <f t="shared" si="42"/>
        <v>0</v>
      </c>
      <c r="F197" s="27">
        <f t="shared" si="42"/>
        <v>0</v>
      </c>
      <c r="G197" s="27">
        <f t="shared" si="42"/>
        <v>0</v>
      </c>
      <c r="H197" s="27">
        <f t="shared" si="42"/>
        <v>0</v>
      </c>
      <c r="I197" s="27">
        <f t="shared" si="42"/>
        <v>0</v>
      </c>
      <c r="J197" s="27">
        <f t="shared" si="42"/>
        <v>0</v>
      </c>
      <c r="K197" s="27">
        <f t="shared" si="42"/>
        <v>0</v>
      </c>
      <c r="L197" s="27">
        <f t="shared" si="42"/>
        <v>0</v>
      </c>
      <c r="M197" s="27">
        <f t="shared" si="42"/>
        <v>0</v>
      </c>
      <c r="N197" s="27">
        <f t="shared" si="42"/>
        <v>0</v>
      </c>
      <c r="O197" s="27">
        <f t="shared" si="42"/>
        <v>280000</v>
      </c>
      <c r="P197" s="58"/>
      <c r="Q197" s="58"/>
    </row>
    <row r="198" spans="1:17" s="10" customFormat="1" ht="29.25" customHeight="1" x14ac:dyDescent="0.3">
      <c r="A198" s="49" t="s">
        <v>294</v>
      </c>
      <c r="B198" s="33" t="s">
        <v>462</v>
      </c>
      <c r="C198" s="37">
        <v>220000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220000</v>
      </c>
      <c r="P198" s="59"/>
      <c r="Q198" s="59"/>
    </row>
    <row r="199" spans="1:17" s="10" customFormat="1" ht="16.5" customHeight="1" x14ac:dyDescent="0.3">
      <c r="A199" s="49" t="s">
        <v>295</v>
      </c>
      <c r="B199" s="33" t="s">
        <v>463</v>
      </c>
      <c r="C199" s="37">
        <v>20000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7">
        <f t="shared" si="29"/>
        <v>20000</v>
      </c>
      <c r="P199" s="59"/>
      <c r="Q199" s="59"/>
    </row>
    <row r="200" spans="1:17" s="10" customFormat="1" ht="15.75" customHeight="1" x14ac:dyDescent="0.3">
      <c r="A200" s="49" t="s">
        <v>296</v>
      </c>
      <c r="B200" s="33" t="s">
        <v>464</v>
      </c>
      <c r="C200" s="37">
        <v>20000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7">
        <f t="shared" si="29"/>
        <v>20000</v>
      </c>
      <c r="P200" s="59"/>
      <c r="Q200" s="59"/>
    </row>
    <row r="201" spans="1:17" s="10" customFormat="1" ht="15.75" customHeight="1" x14ac:dyDescent="0.3">
      <c r="A201" s="49" t="s">
        <v>465</v>
      </c>
      <c r="B201" s="33" t="s">
        <v>466</v>
      </c>
      <c r="C201" s="37">
        <v>10000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7">
        <f t="shared" si="29"/>
        <v>10000</v>
      </c>
      <c r="P201" s="59"/>
      <c r="Q201" s="59"/>
    </row>
    <row r="202" spans="1:17" s="10" customFormat="1" ht="15.75" customHeight="1" x14ac:dyDescent="0.3">
      <c r="A202" s="49" t="s">
        <v>467</v>
      </c>
      <c r="B202" s="33" t="s">
        <v>468</v>
      </c>
      <c r="C202" s="37">
        <v>10000</v>
      </c>
      <c r="D202" s="37"/>
      <c r="E202" s="37"/>
      <c r="F202" s="38"/>
      <c r="G202" s="37"/>
      <c r="H202" s="37"/>
      <c r="I202" s="38"/>
      <c r="J202" s="38"/>
      <c r="K202" s="37"/>
      <c r="L202" s="38"/>
      <c r="M202" s="37"/>
      <c r="N202" s="37"/>
      <c r="O202" s="27">
        <f t="shared" si="29"/>
        <v>10000</v>
      </c>
      <c r="P202" s="59"/>
      <c r="Q202" s="59"/>
    </row>
    <row r="203" spans="1:17" s="10" customFormat="1" ht="15.75" customHeight="1" x14ac:dyDescent="0.3">
      <c r="A203" s="49" t="s">
        <v>469</v>
      </c>
      <c r="B203" s="33" t="s">
        <v>470</v>
      </c>
      <c r="C203" s="37">
        <f>400000-132713-267287</f>
        <v>0</v>
      </c>
      <c r="D203" s="37"/>
      <c r="E203" s="37"/>
      <c r="F203" s="38"/>
      <c r="G203" s="37"/>
      <c r="H203" s="37"/>
      <c r="I203" s="38"/>
      <c r="J203" s="38"/>
      <c r="K203" s="37"/>
      <c r="L203" s="38"/>
      <c r="M203" s="37"/>
      <c r="N203" s="37"/>
      <c r="O203" s="27">
        <f>C203+F203+I203+L203</f>
        <v>0</v>
      </c>
      <c r="P203" s="59"/>
      <c r="Q203" s="59"/>
    </row>
    <row r="204" spans="1:17" s="1" customFormat="1" ht="32.25" customHeight="1" x14ac:dyDescent="0.3">
      <c r="A204" s="46"/>
      <c r="B204" s="127" t="s">
        <v>202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7"/>
      <c r="Q204" s="17"/>
    </row>
    <row r="205" spans="1:17" s="7" customFormat="1" ht="15.75" customHeight="1" x14ac:dyDescent="0.25">
      <c r="A205" s="29"/>
      <c r="B205" s="42" t="s">
        <v>27</v>
      </c>
      <c r="C205" s="38">
        <f t="shared" ref="C205:N205" si="43">C206+C250+C249</f>
        <v>7115905</v>
      </c>
      <c r="D205" s="38">
        <f t="shared" si="43"/>
        <v>2119560</v>
      </c>
      <c r="E205" s="38">
        <f t="shared" si="43"/>
        <v>0</v>
      </c>
      <c r="F205" s="38">
        <f>F206+F250+F249</f>
        <v>2980592</v>
      </c>
      <c r="G205" s="38">
        <f t="shared" si="43"/>
        <v>534560</v>
      </c>
      <c r="H205" s="38">
        <f t="shared" si="43"/>
        <v>0</v>
      </c>
      <c r="I205" s="38">
        <f>I206+I250+I249</f>
        <v>0</v>
      </c>
      <c r="J205" s="38">
        <f t="shared" si="43"/>
        <v>0</v>
      </c>
      <c r="K205" s="38">
        <f t="shared" si="43"/>
        <v>0</v>
      </c>
      <c r="L205" s="38">
        <f t="shared" si="43"/>
        <v>343324</v>
      </c>
      <c r="M205" s="38">
        <f t="shared" si="43"/>
        <v>326293</v>
      </c>
      <c r="N205" s="38">
        <f t="shared" si="43"/>
        <v>0</v>
      </c>
      <c r="O205" s="38">
        <f>C205+F205+I205+L205</f>
        <v>10439821</v>
      </c>
      <c r="P205" s="58"/>
      <c r="Q205" s="58"/>
    </row>
    <row r="206" spans="1:17" s="2" customFormat="1" ht="15.75" customHeight="1" x14ac:dyDescent="0.3">
      <c r="A206" s="27" t="s">
        <v>146</v>
      </c>
      <c r="B206" s="42" t="s">
        <v>34</v>
      </c>
      <c r="C206" s="27">
        <f>SUM(C207:C248)</f>
        <v>6536918</v>
      </c>
      <c r="D206" s="27">
        <f t="shared" ref="D206:E206" si="44">SUM(D207:D247)</f>
        <v>1757060</v>
      </c>
      <c r="E206" s="27">
        <f t="shared" si="44"/>
        <v>0</v>
      </c>
      <c r="F206" s="27">
        <f>SUM(F207:F248)</f>
        <v>2944603</v>
      </c>
      <c r="G206" s="27">
        <f t="shared" ref="G206:L206" si="45">SUM(G207:G247)</f>
        <v>504000</v>
      </c>
      <c r="H206" s="27">
        <f t="shared" si="45"/>
        <v>0</v>
      </c>
      <c r="I206" s="27">
        <f t="shared" si="45"/>
        <v>0</v>
      </c>
      <c r="J206" s="27">
        <f t="shared" si="45"/>
        <v>0</v>
      </c>
      <c r="K206" s="27">
        <f t="shared" si="45"/>
        <v>0</v>
      </c>
      <c r="L206" s="27">
        <f t="shared" si="45"/>
        <v>0</v>
      </c>
      <c r="M206" s="27">
        <f>SUM(M207:M243)</f>
        <v>0</v>
      </c>
      <c r="N206" s="27">
        <f>SUM(N207:N243)</f>
        <v>0</v>
      </c>
      <c r="O206" s="27">
        <f>SUM(O207:O248)</f>
        <v>9481521</v>
      </c>
      <c r="P206" s="17"/>
      <c r="Q206" s="17"/>
    </row>
    <row r="207" spans="1:17" s="10" customFormat="1" ht="15.75" customHeight="1" x14ac:dyDescent="0.3">
      <c r="A207" s="49" t="s">
        <v>297</v>
      </c>
      <c r="B207" s="33" t="s">
        <v>14</v>
      </c>
      <c r="C207" s="115">
        <f>1660000+63000</f>
        <v>1723000</v>
      </c>
      <c r="D207" s="37"/>
      <c r="E207" s="37"/>
      <c r="F207" s="37">
        <f>11421+13593+12188</f>
        <v>37202</v>
      </c>
      <c r="G207" s="37"/>
      <c r="H207" s="37"/>
      <c r="I207" s="37"/>
      <c r="J207" s="37"/>
      <c r="K207" s="37"/>
      <c r="L207" s="37"/>
      <c r="M207" s="37"/>
      <c r="N207" s="37"/>
      <c r="O207" s="27">
        <f>C207+F207+I207+L207</f>
        <v>1760202</v>
      </c>
      <c r="P207" s="59"/>
      <c r="Q207" s="59"/>
    </row>
    <row r="208" spans="1:17" s="10" customFormat="1" ht="15.75" customHeight="1" x14ac:dyDescent="0.3">
      <c r="A208" s="49" t="s">
        <v>298</v>
      </c>
      <c r="B208" s="33" t="s">
        <v>321</v>
      </c>
      <c r="C208" s="37">
        <v>144000</v>
      </c>
      <c r="D208" s="37"/>
      <c r="E208" s="37"/>
      <c r="F208" s="37">
        <f>100</f>
        <v>100</v>
      </c>
      <c r="G208" s="37"/>
      <c r="H208" s="37"/>
      <c r="I208" s="37"/>
      <c r="J208" s="37"/>
      <c r="K208" s="37"/>
      <c r="L208" s="37"/>
      <c r="M208" s="37"/>
      <c r="N208" s="37"/>
      <c r="O208" s="27">
        <f>C208+F208+I208+L208</f>
        <v>144100</v>
      </c>
      <c r="P208" s="59"/>
      <c r="Q208" s="59"/>
    </row>
    <row r="209" spans="1:17" s="10" customFormat="1" ht="15.75" customHeight="1" x14ac:dyDescent="0.3">
      <c r="A209" s="49" t="s">
        <v>299</v>
      </c>
      <c r="B209" s="33" t="s">
        <v>32</v>
      </c>
      <c r="C209" s="115">
        <f>1030000-150000</f>
        <v>880000</v>
      </c>
      <c r="D209" s="37"/>
      <c r="E209" s="37"/>
      <c r="F209" s="37">
        <f>1269+257+141+65</f>
        <v>1732</v>
      </c>
      <c r="G209" s="37"/>
      <c r="H209" s="37"/>
      <c r="I209" s="37"/>
      <c r="J209" s="37"/>
      <c r="K209" s="37"/>
      <c r="L209" s="37"/>
      <c r="M209" s="37"/>
      <c r="N209" s="37"/>
      <c r="O209" s="27">
        <f>C209+F209+I209+L209</f>
        <v>881732</v>
      </c>
      <c r="P209" s="59"/>
      <c r="Q209" s="59"/>
    </row>
    <row r="210" spans="1:17" s="10" customFormat="1" ht="15.75" customHeight="1" x14ac:dyDescent="0.3">
      <c r="A210" s="49" t="s">
        <v>300</v>
      </c>
      <c r="B210" s="33" t="s">
        <v>164</v>
      </c>
      <c r="C210" s="37"/>
      <c r="D210" s="37"/>
      <c r="E210" s="37"/>
      <c r="F210" s="37">
        <f>214700-4400-19100</f>
        <v>191200</v>
      </c>
      <c r="G210" s="37"/>
      <c r="H210" s="37"/>
      <c r="I210" s="37"/>
      <c r="J210" s="37"/>
      <c r="K210" s="37"/>
      <c r="L210" s="37"/>
      <c r="M210" s="37"/>
      <c r="N210" s="37"/>
      <c r="O210" s="27">
        <f t="shared" ref="O210:O249" si="46">C210+F210+I210+L210</f>
        <v>191200</v>
      </c>
      <c r="P210" s="59"/>
      <c r="Q210" s="59"/>
    </row>
    <row r="211" spans="1:17" s="10" customFormat="1" ht="15.75" customHeight="1" x14ac:dyDescent="0.3">
      <c r="A211" s="49" t="s">
        <v>301</v>
      </c>
      <c r="B211" s="45" t="s">
        <v>268</v>
      </c>
      <c r="C211" s="37">
        <v>8000</v>
      </c>
      <c r="D211" s="45"/>
      <c r="E211" s="37"/>
      <c r="F211" s="37">
        <v>157500</v>
      </c>
      <c r="G211" s="37"/>
      <c r="H211" s="37"/>
      <c r="I211" s="45"/>
      <c r="J211" s="45"/>
      <c r="K211" s="45"/>
      <c r="L211" s="45"/>
      <c r="M211" s="45"/>
      <c r="N211" s="45"/>
      <c r="O211" s="27">
        <f>C211+F211+I211+L211</f>
        <v>165500</v>
      </c>
      <c r="P211" s="59"/>
      <c r="Q211" s="59"/>
    </row>
    <row r="212" spans="1:17" s="10" customFormat="1" ht="15.75" customHeight="1" x14ac:dyDescent="0.3">
      <c r="A212" s="49" t="s">
        <v>302</v>
      </c>
      <c r="B212" s="33" t="s">
        <v>162</v>
      </c>
      <c r="C212" s="37"/>
      <c r="D212" s="37"/>
      <c r="E212" s="37"/>
      <c r="F212" s="115">
        <f>98000-3510</f>
        <v>94490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94490</v>
      </c>
      <c r="P212" s="59"/>
      <c r="Q212" s="59"/>
    </row>
    <row r="213" spans="1:17" s="10" customFormat="1" ht="15.75" customHeight="1" x14ac:dyDescent="0.3">
      <c r="A213" s="49" t="s">
        <v>303</v>
      </c>
      <c r="B213" s="33" t="s">
        <v>33</v>
      </c>
      <c r="C213" s="37"/>
      <c r="D213" s="37"/>
      <c r="E213" s="37"/>
      <c r="F213" s="115">
        <f>382800+2042+2138+2664+8510</f>
        <v>398154</v>
      </c>
      <c r="G213" s="37"/>
      <c r="H213" s="37"/>
      <c r="I213" s="37"/>
      <c r="J213" s="37"/>
      <c r="K213" s="37"/>
      <c r="L213" s="37"/>
      <c r="M213" s="37"/>
      <c r="N213" s="37"/>
      <c r="O213" s="27">
        <f t="shared" si="46"/>
        <v>398154</v>
      </c>
      <c r="P213" s="59"/>
      <c r="Q213" s="59"/>
    </row>
    <row r="214" spans="1:17" s="10" customFormat="1" ht="15.75" customHeight="1" x14ac:dyDescent="0.3">
      <c r="A214" s="49" t="s">
        <v>322</v>
      </c>
      <c r="B214" s="33" t="s">
        <v>163</v>
      </c>
      <c r="C214" s="37">
        <f>46000-2570</f>
        <v>43430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27">
        <f t="shared" si="46"/>
        <v>43430</v>
      </c>
      <c r="P214" s="59"/>
      <c r="Q214" s="59"/>
    </row>
    <row r="215" spans="1:17" s="10" customFormat="1" ht="15.75" customHeight="1" x14ac:dyDescent="0.3">
      <c r="A215" s="49" t="s">
        <v>323</v>
      </c>
      <c r="B215" s="33" t="s">
        <v>182</v>
      </c>
      <c r="C215" s="37"/>
      <c r="D215" s="37"/>
      <c r="E215" s="37"/>
      <c r="F215" s="115">
        <f>946200+140000-4800</f>
        <v>1081400</v>
      </c>
      <c r="G215" s="37"/>
      <c r="H215" s="37"/>
      <c r="I215" s="37"/>
      <c r="J215" s="37"/>
      <c r="K215" s="37"/>
      <c r="L215" s="37"/>
      <c r="M215" s="37"/>
      <c r="N215" s="37"/>
      <c r="O215" s="27">
        <f t="shared" si="46"/>
        <v>1081400</v>
      </c>
      <c r="P215" s="59"/>
      <c r="Q215" s="59"/>
    </row>
    <row r="216" spans="1:17" s="8" customFormat="1" ht="45" customHeight="1" x14ac:dyDescent="0.25">
      <c r="A216" s="49" t="s">
        <v>324</v>
      </c>
      <c r="B216" s="65" t="s">
        <v>426</v>
      </c>
      <c r="C216" s="29"/>
      <c r="D216" s="29"/>
      <c r="E216" s="29"/>
      <c r="F216" s="114">
        <f>418000-36700</f>
        <v>381300</v>
      </c>
      <c r="G216" s="29">
        <v>405000</v>
      </c>
      <c r="H216" s="29"/>
      <c r="I216" s="29"/>
      <c r="J216" s="29"/>
      <c r="K216" s="29"/>
      <c r="L216" s="29"/>
      <c r="M216" s="29"/>
      <c r="N216" s="29"/>
      <c r="O216" s="27">
        <f t="shared" si="46"/>
        <v>381300</v>
      </c>
      <c r="P216" s="57"/>
      <c r="Q216" s="57"/>
    </row>
    <row r="217" spans="1:17" s="8" customFormat="1" ht="28.5" customHeight="1" x14ac:dyDescent="0.25">
      <c r="A217" s="49" t="s">
        <v>325</v>
      </c>
      <c r="B217" s="65" t="s">
        <v>427</v>
      </c>
      <c r="C217" s="29"/>
      <c r="D217" s="29"/>
      <c r="E217" s="29"/>
      <c r="F217" s="29">
        <f>103500-39000</f>
        <v>64500</v>
      </c>
      <c r="G217" s="29">
        <v>99000</v>
      </c>
      <c r="H217" s="29"/>
      <c r="I217" s="29"/>
      <c r="J217" s="29"/>
      <c r="K217" s="29"/>
      <c r="L217" s="29"/>
      <c r="M217" s="29"/>
      <c r="N217" s="29"/>
      <c r="O217" s="27">
        <f t="shared" si="46"/>
        <v>64500</v>
      </c>
      <c r="P217" s="57"/>
      <c r="Q217" s="57"/>
    </row>
    <row r="218" spans="1:17" s="4" customFormat="1" ht="28.5" customHeight="1" x14ac:dyDescent="0.25">
      <c r="A218" s="49" t="s">
        <v>326</v>
      </c>
      <c r="B218" s="33" t="s">
        <v>571</v>
      </c>
      <c r="C218" s="29">
        <v>170000</v>
      </c>
      <c r="D218" s="29"/>
      <c r="E218" s="29"/>
      <c r="F218" s="29">
        <f>227700+13200+12800</f>
        <v>253700</v>
      </c>
      <c r="G218" s="29"/>
      <c r="H218" s="29"/>
      <c r="I218" s="29"/>
      <c r="J218" s="29"/>
      <c r="K218" s="29"/>
      <c r="L218" s="29"/>
      <c r="M218" s="29"/>
      <c r="N218" s="29"/>
      <c r="O218" s="27">
        <f t="shared" si="46"/>
        <v>423700</v>
      </c>
      <c r="P218" s="58"/>
      <c r="Q218" s="57"/>
    </row>
    <row r="219" spans="1:17" s="8" customFormat="1" ht="15.75" customHeight="1" x14ac:dyDescent="0.25">
      <c r="A219" s="49" t="s">
        <v>327</v>
      </c>
      <c r="B219" s="65" t="s">
        <v>471</v>
      </c>
      <c r="C219" s="29"/>
      <c r="D219" s="29"/>
      <c r="E219" s="29"/>
      <c r="F219" s="29">
        <v>12500</v>
      </c>
      <c r="G219" s="29"/>
      <c r="H219" s="29"/>
      <c r="I219" s="29"/>
      <c r="J219" s="29"/>
      <c r="K219" s="29"/>
      <c r="L219" s="29"/>
      <c r="M219" s="29"/>
      <c r="N219" s="29"/>
      <c r="O219" s="27">
        <f>C219+F219+I219+L219</f>
        <v>12500</v>
      </c>
      <c r="P219" s="57"/>
      <c r="Q219" s="57"/>
    </row>
    <row r="220" spans="1:17" s="8" customFormat="1" ht="15.75" customHeight="1" x14ac:dyDescent="0.25">
      <c r="A220" s="49" t="s">
        <v>374</v>
      </c>
      <c r="B220" s="65" t="s">
        <v>373</v>
      </c>
      <c r="C220" s="29"/>
      <c r="D220" s="29"/>
      <c r="E220" s="29"/>
      <c r="F220" s="29">
        <f>99686-39216-20000-4902</f>
        <v>35568</v>
      </c>
      <c r="G220" s="29"/>
      <c r="H220" s="29"/>
      <c r="I220" s="29"/>
      <c r="J220" s="29"/>
      <c r="K220" s="29"/>
      <c r="L220" s="29"/>
      <c r="M220" s="29"/>
      <c r="N220" s="29"/>
      <c r="O220" s="27">
        <f t="shared" si="46"/>
        <v>35568</v>
      </c>
      <c r="P220" s="57"/>
      <c r="Q220" s="57"/>
    </row>
    <row r="221" spans="1:17" s="10" customFormat="1" ht="15.75" customHeight="1" x14ac:dyDescent="0.3">
      <c r="A221" s="49" t="s">
        <v>472</v>
      </c>
      <c r="B221" s="33" t="s">
        <v>428</v>
      </c>
      <c r="C221" s="37">
        <v>14000</v>
      </c>
      <c r="D221" s="37"/>
      <c r="E221" s="37"/>
      <c r="F221" s="37">
        <f>28400-2694</f>
        <v>25706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39706</v>
      </c>
      <c r="P221" s="59"/>
      <c r="Q221" s="59"/>
    </row>
    <row r="222" spans="1:17" s="10" customFormat="1" ht="15.75" customHeight="1" x14ac:dyDescent="0.3">
      <c r="A222" s="49" t="s">
        <v>473</v>
      </c>
      <c r="B222" s="33" t="s">
        <v>474</v>
      </c>
      <c r="C222" s="115">
        <f>23000+8582-8300-4500-3145-4440</f>
        <v>11197</v>
      </c>
      <c r="D222" s="37"/>
      <c r="E222" s="37"/>
      <c r="F222" s="37">
        <f>51125-3751-30080</f>
        <v>17294</v>
      </c>
      <c r="G222" s="37"/>
      <c r="H222" s="37"/>
      <c r="I222" s="38"/>
      <c r="J222" s="38"/>
      <c r="K222" s="37"/>
      <c r="L222" s="38"/>
      <c r="M222" s="37"/>
      <c r="N222" s="37"/>
      <c r="O222" s="27">
        <f t="shared" si="46"/>
        <v>28491</v>
      </c>
      <c r="P222" s="59"/>
      <c r="Q222" s="59"/>
    </row>
    <row r="223" spans="1:17" s="10" customFormat="1" ht="30" customHeight="1" x14ac:dyDescent="0.3">
      <c r="A223" s="49" t="s">
        <v>328</v>
      </c>
      <c r="B223" s="33" t="s">
        <v>475</v>
      </c>
      <c r="C223" s="37"/>
      <c r="D223" s="37"/>
      <c r="E223" s="37"/>
      <c r="F223" s="37">
        <f>6626+719</f>
        <v>7345</v>
      </c>
      <c r="G223" s="37"/>
      <c r="H223" s="37"/>
      <c r="I223" s="38"/>
      <c r="J223" s="38"/>
      <c r="K223" s="37"/>
      <c r="L223" s="38"/>
      <c r="M223" s="37"/>
      <c r="N223" s="37"/>
      <c r="O223" s="27">
        <f>C223+F223+I223+L223</f>
        <v>7345</v>
      </c>
      <c r="P223" s="59"/>
      <c r="Q223" s="59"/>
    </row>
    <row r="224" spans="1:17" s="10" customFormat="1" ht="28.5" customHeight="1" x14ac:dyDescent="0.3">
      <c r="A224" s="49" t="s">
        <v>329</v>
      </c>
      <c r="B224" s="33" t="s">
        <v>388</v>
      </c>
      <c r="C224" s="115">
        <f>795000+166300+20000+39240</f>
        <v>1020540</v>
      </c>
      <c r="D224" s="37"/>
      <c r="E224" s="37"/>
      <c r="F224" s="37">
        <f>6300</f>
        <v>6300</v>
      </c>
      <c r="G224" s="37"/>
      <c r="H224" s="37"/>
      <c r="I224" s="38"/>
      <c r="J224" s="38"/>
      <c r="K224" s="37"/>
      <c r="L224" s="38"/>
      <c r="M224" s="37"/>
      <c r="N224" s="37"/>
      <c r="O224" s="27">
        <f t="shared" si="46"/>
        <v>1026840</v>
      </c>
      <c r="P224" s="59"/>
      <c r="Q224" s="59"/>
    </row>
    <row r="225" spans="1:17" s="10" customFormat="1" ht="28.5" customHeight="1" x14ac:dyDescent="0.3">
      <c r="A225" s="49" t="s">
        <v>330</v>
      </c>
      <c r="B225" s="33" t="s">
        <v>476</v>
      </c>
      <c r="C225" s="37">
        <f>24000-4500</f>
        <v>19500</v>
      </c>
      <c r="D225" s="37"/>
      <c r="E225" s="37"/>
      <c r="F225" s="37"/>
      <c r="G225" s="37"/>
      <c r="H225" s="37"/>
      <c r="I225" s="37"/>
      <c r="J225" s="37"/>
      <c r="K225" s="37"/>
      <c r="L225" s="38"/>
      <c r="M225" s="37"/>
      <c r="N225" s="37"/>
      <c r="O225" s="27">
        <f t="shared" si="46"/>
        <v>19500</v>
      </c>
      <c r="P225" s="59"/>
      <c r="Q225" s="59"/>
    </row>
    <row r="226" spans="1:17" s="4" customFormat="1" ht="15.75" customHeight="1" x14ac:dyDescent="0.25">
      <c r="A226" s="49" t="s">
        <v>331</v>
      </c>
      <c r="B226" s="33" t="s">
        <v>477</v>
      </c>
      <c r="C226" s="29">
        <f>353500-73600+11000</f>
        <v>290900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290900</v>
      </c>
      <c r="P226" s="58"/>
      <c r="Q226" s="57"/>
    </row>
    <row r="227" spans="1:17" s="4" customFormat="1" ht="45.75" customHeight="1" x14ac:dyDescent="0.25">
      <c r="A227" s="49" t="s">
        <v>332</v>
      </c>
      <c r="B227" s="33" t="s">
        <v>516</v>
      </c>
      <c r="C227" s="29">
        <f>25000+10000+3800+2900</f>
        <v>41700</v>
      </c>
      <c r="D227" s="31"/>
      <c r="E227" s="29"/>
      <c r="F227" s="29">
        <f>27583+10797+3132</f>
        <v>41512</v>
      </c>
      <c r="G227" s="31"/>
      <c r="H227" s="31"/>
      <c r="I227" s="31"/>
      <c r="J227" s="31"/>
      <c r="K227" s="31"/>
      <c r="L227" s="31"/>
      <c r="M227" s="31"/>
      <c r="N227" s="31"/>
      <c r="O227" s="27">
        <f t="shared" si="46"/>
        <v>83212</v>
      </c>
      <c r="P227" s="58"/>
      <c r="Q227" s="57"/>
    </row>
    <row r="228" spans="1:17" s="10" customFormat="1" ht="15.75" customHeight="1" x14ac:dyDescent="0.3">
      <c r="A228" s="49" t="s">
        <v>333</v>
      </c>
      <c r="B228" s="33" t="s">
        <v>180</v>
      </c>
      <c r="C228" s="37">
        <v>1000</v>
      </c>
      <c r="D228" s="37"/>
      <c r="E228" s="37"/>
      <c r="F228" s="38"/>
      <c r="G228" s="37"/>
      <c r="H228" s="37"/>
      <c r="I228" s="38"/>
      <c r="J228" s="38"/>
      <c r="K228" s="37"/>
      <c r="L228" s="38"/>
      <c r="M228" s="37"/>
      <c r="N228" s="37"/>
      <c r="O228" s="27">
        <f t="shared" si="46"/>
        <v>1000</v>
      </c>
      <c r="P228" s="59"/>
      <c r="Q228" s="59"/>
    </row>
    <row r="229" spans="1:17" s="4" customFormat="1" ht="30" customHeight="1" x14ac:dyDescent="0.25">
      <c r="A229" s="49" t="s">
        <v>334</v>
      </c>
      <c r="B229" s="45" t="s">
        <v>437</v>
      </c>
      <c r="C229" s="29">
        <v>222000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27">
        <f t="shared" si="46"/>
        <v>222000</v>
      </c>
      <c r="P229" s="57"/>
      <c r="Q229" s="57"/>
    </row>
    <row r="230" spans="1:17" s="10" customFormat="1" ht="15.75" customHeight="1" x14ac:dyDescent="0.3">
      <c r="A230" s="49" t="s">
        <v>335</v>
      </c>
      <c r="B230" s="33" t="s">
        <v>156</v>
      </c>
      <c r="C230" s="54">
        <v>11000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11000</v>
      </c>
      <c r="P230" s="59"/>
      <c r="Q230" s="59"/>
    </row>
    <row r="231" spans="1:17" s="10" customFormat="1" ht="15.75" customHeight="1" x14ac:dyDescent="0.3">
      <c r="A231" s="49" t="s">
        <v>336</v>
      </c>
      <c r="B231" s="33" t="s">
        <v>375</v>
      </c>
      <c r="C231" s="37">
        <f>82950-20000</f>
        <v>62950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 t="shared" si="46"/>
        <v>62950</v>
      </c>
      <c r="P231" s="59"/>
      <c r="Q231" s="59"/>
    </row>
    <row r="232" spans="1:17" s="10" customFormat="1" ht="15.75" customHeight="1" x14ac:dyDescent="0.3">
      <c r="A232" s="49" t="s">
        <v>337</v>
      </c>
      <c r="B232" s="33" t="s">
        <v>267</v>
      </c>
      <c r="C232" s="37">
        <v>2148</v>
      </c>
      <c r="D232" s="37"/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2148</v>
      </c>
      <c r="P232" s="59"/>
      <c r="Q232" s="59"/>
    </row>
    <row r="233" spans="1:17" s="10" customFormat="1" ht="45.75" customHeight="1" x14ac:dyDescent="0.3">
      <c r="A233" s="49" t="s">
        <v>338</v>
      </c>
      <c r="B233" s="33" t="s">
        <v>572</v>
      </c>
      <c r="C233" s="37">
        <f>5000+14000</f>
        <v>19000</v>
      </c>
      <c r="D233" s="37"/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 t="shared" si="46"/>
        <v>19000</v>
      </c>
      <c r="P233" s="59"/>
      <c r="Q233" s="59"/>
    </row>
    <row r="234" spans="1:17" s="10" customFormat="1" ht="30.75" customHeight="1" x14ac:dyDescent="0.3">
      <c r="A234" s="49" t="s">
        <v>339</v>
      </c>
      <c r="B234" s="33" t="s">
        <v>183</v>
      </c>
      <c r="C234" s="37">
        <v>23000</v>
      </c>
      <c r="D234" s="37"/>
      <c r="E234" s="37"/>
      <c r="F234" s="38"/>
      <c r="G234" s="37"/>
      <c r="H234" s="37"/>
      <c r="I234" s="38"/>
      <c r="J234" s="38"/>
      <c r="K234" s="37"/>
      <c r="L234" s="38"/>
      <c r="M234" s="37"/>
      <c r="N234" s="37"/>
      <c r="O234" s="27">
        <f>C234+F234+I234+L234</f>
        <v>23000</v>
      </c>
      <c r="P234" s="59"/>
      <c r="Q234" s="59"/>
    </row>
    <row r="235" spans="1:17" s="10" customFormat="1" ht="28.5" customHeight="1" x14ac:dyDescent="0.3">
      <c r="A235" s="49" t="s">
        <v>340</v>
      </c>
      <c r="B235" s="33" t="s">
        <v>559</v>
      </c>
      <c r="C235" s="37">
        <f>187400-20350</f>
        <v>167050</v>
      </c>
      <c r="D235" s="37">
        <v>184150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167050</v>
      </c>
      <c r="P235" s="59"/>
      <c r="Q235" s="59"/>
    </row>
    <row r="236" spans="1:17" s="10" customFormat="1" ht="30" customHeight="1" x14ac:dyDescent="0.3">
      <c r="A236" s="49" t="s">
        <v>341</v>
      </c>
      <c r="B236" s="60" t="s">
        <v>304</v>
      </c>
      <c r="C236" s="37">
        <f>208800-112521</f>
        <v>96279</v>
      </c>
      <c r="D236" s="37">
        <v>205070</v>
      </c>
      <c r="E236" s="37"/>
      <c r="F236" s="38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96279</v>
      </c>
      <c r="P236" s="59"/>
      <c r="Q236" s="59"/>
    </row>
    <row r="237" spans="1:17" s="10" customFormat="1" ht="29.25" customHeight="1" x14ac:dyDescent="0.3">
      <c r="A237" s="49" t="s">
        <v>478</v>
      </c>
      <c r="B237" s="33" t="s">
        <v>181</v>
      </c>
      <c r="C237" s="37">
        <v>601400</v>
      </c>
      <c r="D237" s="37">
        <v>580000</v>
      </c>
      <c r="E237" s="37"/>
      <c r="F237" s="37"/>
      <c r="G237" s="37"/>
      <c r="H237" s="37"/>
      <c r="I237" s="38"/>
      <c r="J237" s="38"/>
      <c r="K237" s="37"/>
      <c r="L237" s="38"/>
      <c r="M237" s="37"/>
      <c r="N237" s="37"/>
      <c r="O237" s="27">
        <f t="shared" si="46"/>
        <v>601400</v>
      </c>
      <c r="P237" s="59"/>
      <c r="Q237" s="59"/>
    </row>
    <row r="238" spans="1:17" s="10" customFormat="1" ht="30" customHeight="1" x14ac:dyDescent="0.3">
      <c r="A238" s="49" t="s">
        <v>377</v>
      </c>
      <c r="B238" s="33" t="s">
        <v>376</v>
      </c>
      <c r="C238" s="37">
        <v>90700</v>
      </c>
      <c r="D238" s="37">
        <v>22700</v>
      </c>
      <c r="E238" s="37"/>
      <c r="F238" s="38"/>
      <c r="G238" s="37"/>
      <c r="H238" s="37"/>
      <c r="I238" s="38"/>
      <c r="J238" s="38"/>
      <c r="K238" s="37"/>
      <c r="L238" s="38"/>
      <c r="M238" s="37"/>
      <c r="N238" s="37"/>
      <c r="O238" s="27">
        <f t="shared" si="46"/>
        <v>90700</v>
      </c>
      <c r="P238" s="59"/>
      <c r="Q238" s="59"/>
    </row>
    <row r="239" spans="1:17" s="10" customFormat="1" ht="29.25" customHeight="1" x14ac:dyDescent="0.3">
      <c r="A239" s="49" t="s">
        <v>429</v>
      </c>
      <c r="B239" s="60" t="s">
        <v>206</v>
      </c>
      <c r="C239" s="37">
        <v>417400</v>
      </c>
      <c r="D239" s="37">
        <v>410140</v>
      </c>
      <c r="E239" s="37"/>
      <c r="F239" s="37"/>
      <c r="G239" s="37"/>
      <c r="H239" s="37"/>
      <c r="I239" s="38"/>
      <c r="J239" s="38"/>
      <c r="K239" s="37"/>
      <c r="L239" s="38"/>
      <c r="M239" s="37"/>
      <c r="N239" s="37"/>
      <c r="O239" s="27">
        <f t="shared" si="46"/>
        <v>417400</v>
      </c>
      <c r="P239" s="59"/>
      <c r="Q239" s="59"/>
    </row>
    <row r="240" spans="1:17" s="10" customFormat="1" ht="45.75" customHeight="1" x14ac:dyDescent="0.3">
      <c r="A240" s="49" t="s">
        <v>479</v>
      </c>
      <c r="B240" s="33" t="s">
        <v>187</v>
      </c>
      <c r="C240" s="37">
        <v>76200</v>
      </c>
      <c r="D240" s="37">
        <v>60000</v>
      </c>
      <c r="E240" s="37"/>
      <c r="F240" s="38"/>
      <c r="G240" s="37"/>
      <c r="H240" s="37"/>
      <c r="I240" s="38"/>
      <c r="J240" s="38"/>
      <c r="K240" s="37"/>
      <c r="L240" s="38"/>
      <c r="M240" s="37"/>
      <c r="N240" s="37"/>
      <c r="O240" s="27">
        <f>C240+F240+I240+L240</f>
        <v>76200</v>
      </c>
      <c r="P240" s="59"/>
      <c r="Q240" s="59"/>
    </row>
    <row r="241" spans="1:21" s="10" customFormat="1" ht="29.25" customHeight="1" x14ac:dyDescent="0.3">
      <c r="A241" s="49" t="s">
        <v>480</v>
      </c>
      <c r="B241" s="60" t="s">
        <v>481</v>
      </c>
      <c r="C241" s="37">
        <f>137400+30520</f>
        <v>167920</v>
      </c>
      <c r="D241" s="37">
        <v>135000</v>
      </c>
      <c r="E241" s="37"/>
      <c r="F241" s="37"/>
      <c r="G241" s="37"/>
      <c r="H241" s="37"/>
      <c r="I241" s="38"/>
      <c r="J241" s="38"/>
      <c r="K241" s="37"/>
      <c r="L241" s="38"/>
      <c r="M241" s="37"/>
      <c r="N241" s="37"/>
      <c r="O241" s="27">
        <f>C241+F241+I241+L241</f>
        <v>167920</v>
      </c>
      <c r="P241" s="59"/>
      <c r="Q241" s="59"/>
    </row>
    <row r="242" spans="1:21" s="10" customFormat="1" ht="29.25" customHeight="1" x14ac:dyDescent="0.3">
      <c r="A242" s="49" t="s">
        <v>482</v>
      </c>
      <c r="B242" s="60" t="s">
        <v>483</v>
      </c>
      <c r="C242" s="37">
        <f>142000-37000-43187+102351</f>
        <v>164164</v>
      </c>
      <c r="D242" s="37">
        <v>120000</v>
      </c>
      <c r="E242" s="37"/>
      <c r="F242" s="37"/>
      <c r="G242" s="37"/>
      <c r="H242" s="37"/>
      <c r="I242" s="38"/>
      <c r="J242" s="38"/>
      <c r="K242" s="37"/>
      <c r="L242" s="38"/>
      <c r="M242" s="37"/>
      <c r="N242" s="37"/>
      <c r="O242" s="27">
        <f>C242+F242+I242+L242</f>
        <v>164164</v>
      </c>
      <c r="P242" s="59"/>
      <c r="Q242" s="59"/>
    </row>
    <row r="243" spans="1:21" s="10" customFormat="1" ht="30" customHeight="1" x14ac:dyDescent="0.3">
      <c r="A243" s="49" t="s">
        <v>484</v>
      </c>
      <c r="B243" s="33" t="s">
        <v>485</v>
      </c>
      <c r="C243" s="37">
        <v>48440</v>
      </c>
      <c r="D243" s="37">
        <v>40000</v>
      </c>
      <c r="E243" s="37"/>
      <c r="F243" s="38"/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48440</v>
      </c>
      <c r="P243" s="59"/>
      <c r="Q243" s="59"/>
    </row>
    <row r="244" spans="1:21" s="10" customFormat="1" ht="33" customHeight="1" x14ac:dyDescent="0.3">
      <c r="A244" s="49" t="s">
        <v>430</v>
      </c>
      <c r="B244" s="33" t="s">
        <v>486</v>
      </c>
      <c r="C244" s="37"/>
      <c r="D244" s="37"/>
      <c r="E244" s="37"/>
      <c r="F244" s="37">
        <v>6750</v>
      </c>
      <c r="G244" s="37"/>
      <c r="H244" s="37"/>
      <c r="I244" s="38"/>
      <c r="J244" s="38"/>
      <c r="K244" s="37"/>
      <c r="L244" s="38"/>
      <c r="M244" s="37"/>
      <c r="N244" s="37"/>
      <c r="O244" s="27">
        <f t="shared" si="46"/>
        <v>6750</v>
      </c>
      <c r="Q244" s="93"/>
      <c r="T244" s="93"/>
      <c r="U244" s="93"/>
    </row>
    <row r="245" spans="1:21" s="10" customFormat="1" ht="30.75" customHeight="1" x14ac:dyDescent="0.3">
      <c r="A245" s="49" t="s">
        <v>555</v>
      </c>
      <c r="B245" s="33" t="s">
        <v>431</v>
      </c>
      <c r="C245" s="37"/>
      <c r="D245" s="37"/>
      <c r="E245" s="37"/>
      <c r="F245" s="37">
        <v>445</v>
      </c>
      <c r="G245" s="37"/>
      <c r="H245" s="37"/>
      <c r="I245" s="38"/>
      <c r="J245" s="38"/>
      <c r="K245" s="37"/>
      <c r="L245" s="38"/>
      <c r="M245" s="37"/>
      <c r="N245" s="37"/>
      <c r="O245" s="27">
        <f t="shared" si="46"/>
        <v>445</v>
      </c>
      <c r="Q245" s="93"/>
      <c r="T245" s="93"/>
      <c r="U245" s="93"/>
    </row>
    <row r="246" spans="1:21" s="10" customFormat="1" ht="30.75" customHeight="1" x14ac:dyDescent="0.3">
      <c r="A246" s="49" t="s">
        <v>558</v>
      </c>
      <c r="B246" s="33" t="s">
        <v>556</v>
      </c>
      <c r="C246" s="37"/>
      <c r="D246" s="37"/>
      <c r="E246" s="37"/>
      <c r="F246" s="37">
        <f>18391+9814</f>
        <v>28205</v>
      </c>
      <c r="G246" s="37"/>
      <c r="H246" s="37"/>
      <c r="I246" s="38"/>
      <c r="J246" s="38"/>
      <c r="K246" s="37"/>
      <c r="L246" s="38"/>
      <c r="M246" s="37"/>
      <c r="N246" s="37"/>
      <c r="O246" s="27">
        <f t="shared" si="46"/>
        <v>28205</v>
      </c>
      <c r="Q246" s="93"/>
      <c r="T246" s="93"/>
      <c r="U246" s="93"/>
    </row>
    <row r="247" spans="1:21" s="10" customFormat="1" ht="15.6" x14ac:dyDescent="0.3">
      <c r="A247" s="49" t="s">
        <v>560</v>
      </c>
      <c r="B247" s="33" t="s">
        <v>557</v>
      </c>
      <c r="C247" s="37"/>
      <c r="D247" s="37"/>
      <c r="E247" s="37"/>
      <c r="F247" s="37">
        <v>100000</v>
      </c>
      <c r="G247" s="37"/>
      <c r="H247" s="37"/>
      <c r="I247" s="38"/>
      <c r="J247" s="38"/>
      <c r="K247" s="37"/>
      <c r="L247" s="38"/>
      <c r="M247" s="37"/>
      <c r="N247" s="37"/>
      <c r="O247" s="27">
        <f>C247+F247+I247+L247</f>
        <v>100000</v>
      </c>
      <c r="Q247" s="93"/>
      <c r="T247" s="93"/>
      <c r="U247" s="93"/>
    </row>
    <row r="248" spans="1:21" s="10" customFormat="1" ht="15.6" x14ac:dyDescent="0.3">
      <c r="A248" s="49" t="s">
        <v>575</v>
      </c>
      <c r="B248" s="33" t="s">
        <v>576</v>
      </c>
      <c r="C248" s="37"/>
      <c r="D248" s="37"/>
      <c r="E248" s="37"/>
      <c r="F248" s="37">
        <v>1700</v>
      </c>
      <c r="G248" s="37"/>
      <c r="H248" s="37"/>
      <c r="I248" s="38"/>
      <c r="J248" s="38"/>
      <c r="K248" s="37"/>
      <c r="L248" s="38"/>
      <c r="M248" s="37"/>
      <c r="N248" s="37"/>
      <c r="O248" s="27">
        <f>C248+F248+I248+L248</f>
        <v>1700</v>
      </c>
      <c r="Q248" s="93"/>
      <c r="T248" s="93"/>
      <c r="U248" s="93"/>
    </row>
    <row r="249" spans="1:21" s="4" customFormat="1" ht="18" customHeight="1" x14ac:dyDescent="0.25">
      <c r="A249" s="27" t="s">
        <v>147</v>
      </c>
      <c r="B249" s="42" t="s">
        <v>13</v>
      </c>
      <c r="C249" s="27">
        <f>246000-142000+142000+9700+24000</f>
        <v>279700</v>
      </c>
      <c r="D249" s="27">
        <f>242500-120000+120000</f>
        <v>242500</v>
      </c>
      <c r="E249" s="27"/>
      <c r="F249" s="27">
        <f>16000-5000</f>
        <v>11000</v>
      </c>
      <c r="G249" s="27">
        <f>15770-4920</f>
        <v>10850</v>
      </c>
      <c r="H249" s="27"/>
      <c r="I249" s="27"/>
      <c r="J249" s="27"/>
      <c r="K249" s="27"/>
      <c r="L249" s="27">
        <f>237000+14500</f>
        <v>251500</v>
      </c>
      <c r="M249" s="27">
        <v>147511</v>
      </c>
      <c r="N249" s="27"/>
      <c r="O249" s="27">
        <f t="shared" si="46"/>
        <v>542200</v>
      </c>
      <c r="P249" s="57"/>
      <c r="Q249" s="57"/>
    </row>
    <row r="250" spans="1:21" s="4" customFormat="1" ht="16.5" customHeight="1" x14ac:dyDescent="0.25">
      <c r="A250" s="27" t="s">
        <v>148</v>
      </c>
      <c r="B250" s="42" t="s">
        <v>305</v>
      </c>
      <c r="C250" s="27">
        <f>152000+107000+43187-2900</f>
        <v>299287</v>
      </c>
      <c r="D250" s="27">
        <f>240000-120000</f>
        <v>120000</v>
      </c>
      <c r="E250" s="27"/>
      <c r="F250" s="27">
        <f>20000+545+4444</f>
        <v>24989</v>
      </c>
      <c r="G250" s="27">
        <f>14790+4920</f>
        <v>19710</v>
      </c>
      <c r="H250" s="27"/>
      <c r="I250" s="27"/>
      <c r="J250" s="27"/>
      <c r="K250" s="27"/>
      <c r="L250" s="27">
        <f>4800+181374-3770-90580</f>
        <v>91824</v>
      </c>
      <c r="M250" s="27">
        <v>178782</v>
      </c>
      <c r="N250" s="27"/>
      <c r="O250" s="27">
        <f>C250+F250+I250+L250</f>
        <v>416100</v>
      </c>
      <c r="P250" s="57"/>
      <c r="Q250" s="57"/>
    </row>
    <row r="251" spans="1:21" s="7" customFormat="1" ht="18" customHeight="1" x14ac:dyDescent="0.25">
      <c r="A251" s="27"/>
      <c r="B251" s="50" t="s">
        <v>24</v>
      </c>
      <c r="C251" s="63">
        <f t="shared" ref="C251:N251" si="47">C12+C41+C48+C56+C89+C115+C146+C205</f>
        <v>29234138</v>
      </c>
      <c r="D251" s="63">
        <f t="shared" si="47"/>
        <v>16004721</v>
      </c>
      <c r="E251" s="63">
        <f t="shared" si="47"/>
        <v>0</v>
      </c>
      <c r="F251" s="63">
        <f t="shared" si="47"/>
        <v>8439446</v>
      </c>
      <c r="G251" s="63">
        <f t="shared" si="47"/>
        <v>2075585</v>
      </c>
      <c r="H251" s="63">
        <f t="shared" si="47"/>
        <v>195370</v>
      </c>
      <c r="I251" s="63">
        <f>I12+I41+I48+I56+I89+I115+I146+I205</f>
        <v>12645800</v>
      </c>
      <c r="J251" s="63">
        <f t="shared" si="47"/>
        <v>10193706</v>
      </c>
      <c r="K251" s="63">
        <f t="shared" si="47"/>
        <v>0</v>
      </c>
      <c r="L251" s="63">
        <f t="shared" si="47"/>
        <v>2772703</v>
      </c>
      <c r="M251" s="63">
        <f t="shared" si="47"/>
        <v>374423</v>
      </c>
      <c r="N251" s="63">
        <f t="shared" si="47"/>
        <v>0</v>
      </c>
      <c r="O251" s="63">
        <f>O12+O41+O48+O56+O89+O115+O146+O205</f>
        <v>53092087</v>
      </c>
      <c r="P251" s="57"/>
      <c r="Q251" s="57"/>
    </row>
    <row r="252" spans="1:21" s="10" customFormat="1" ht="15.75" customHeight="1" x14ac:dyDescent="0.3">
      <c r="A252" s="27" t="s">
        <v>149</v>
      </c>
      <c r="B252" s="42" t="s">
        <v>23</v>
      </c>
      <c r="C252" s="38">
        <f>SUM(C254,C253)</f>
        <v>1083664</v>
      </c>
      <c r="D252" s="37"/>
      <c r="E252" s="37"/>
      <c r="F252" s="38">
        <f>SUM(F254)</f>
        <v>0</v>
      </c>
      <c r="G252" s="37"/>
      <c r="H252" s="37"/>
      <c r="I252" s="38"/>
      <c r="J252" s="38"/>
      <c r="K252" s="37"/>
      <c r="L252" s="38"/>
      <c r="M252" s="37"/>
      <c r="N252" s="37"/>
      <c r="O252" s="27">
        <f>C252+F252+I252+L252</f>
        <v>1083664</v>
      </c>
      <c r="P252" s="57"/>
      <c r="Q252" s="57"/>
    </row>
    <row r="253" spans="1:21" s="7" customFormat="1" ht="18" customHeight="1" x14ac:dyDescent="0.25">
      <c r="A253" s="66" t="s">
        <v>342</v>
      </c>
      <c r="B253" s="45" t="s">
        <v>198</v>
      </c>
      <c r="C253" s="29">
        <f>927100-25000</f>
        <v>902100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902100</v>
      </c>
      <c r="P253" s="58"/>
      <c r="Q253" s="58"/>
    </row>
    <row r="254" spans="1:21" s="7" customFormat="1" ht="18" customHeight="1" x14ac:dyDescent="0.25">
      <c r="A254" s="66" t="s">
        <v>342</v>
      </c>
      <c r="B254" s="45" t="s">
        <v>487</v>
      </c>
      <c r="C254" s="29">
        <f>156564+25000</f>
        <v>181564</v>
      </c>
      <c r="D254" s="31"/>
      <c r="E254" s="29"/>
      <c r="F254" s="31"/>
      <c r="G254" s="31"/>
      <c r="H254" s="31"/>
      <c r="I254" s="31"/>
      <c r="J254" s="31"/>
      <c r="K254" s="31"/>
      <c r="L254" s="31"/>
      <c r="M254" s="31"/>
      <c r="N254" s="31"/>
      <c r="O254" s="27">
        <f>C254+F254+I254+L254</f>
        <v>181564</v>
      </c>
      <c r="P254" s="58"/>
      <c r="Q254" s="58"/>
    </row>
    <row r="255" spans="1:21" s="2" customFormat="1" ht="18.75" customHeight="1" x14ac:dyDescent="0.3">
      <c r="A255" s="41"/>
      <c r="B255" s="32"/>
      <c r="C255" s="1"/>
      <c r="F255" s="9"/>
      <c r="I255" s="9"/>
      <c r="J255" s="9"/>
      <c r="K255" s="7"/>
      <c r="L255" s="9"/>
      <c r="O255" s="1"/>
      <c r="P255" s="17"/>
      <c r="Q255" s="17"/>
    </row>
    <row r="256" spans="1:21" s="7" customFormat="1" ht="15" customHeight="1" x14ac:dyDescent="0.25">
      <c r="A256" s="41"/>
      <c r="B256" s="32"/>
      <c r="C256" s="9"/>
      <c r="F256" s="9"/>
      <c r="I256" s="9"/>
      <c r="J256" s="9"/>
      <c r="L256" s="9"/>
      <c r="P256" s="58"/>
      <c r="Q256" s="58"/>
    </row>
    <row r="257" spans="1:17" s="7" customFormat="1" ht="15" customHeight="1" x14ac:dyDescent="0.25">
      <c r="A257" s="41"/>
      <c r="B257" s="32"/>
      <c r="C257" s="78"/>
      <c r="D257" s="79"/>
      <c r="E257" s="79"/>
      <c r="F257" s="78"/>
      <c r="I257" s="9"/>
      <c r="J257" s="9"/>
      <c r="L257" s="9"/>
      <c r="P257" s="58"/>
      <c r="Q257" s="58"/>
    </row>
    <row r="258" spans="1:17" s="7" customFormat="1" ht="15" customHeight="1" x14ac:dyDescent="0.25">
      <c r="A258" s="41"/>
      <c r="B258" s="32"/>
      <c r="C258" s="9"/>
      <c r="F258" s="9"/>
      <c r="I258" s="9"/>
      <c r="J258" s="9"/>
      <c r="L258" s="9"/>
      <c r="P258" s="58"/>
      <c r="Q258" s="58"/>
    </row>
    <row r="259" spans="1:17" s="7" customFormat="1" ht="15" customHeight="1" x14ac:dyDescent="0.25">
      <c r="A259" s="41"/>
      <c r="B259" s="32"/>
      <c r="C259" s="9"/>
      <c r="F259" s="9"/>
      <c r="I259" s="9"/>
      <c r="J259" s="9"/>
      <c r="L259" s="9"/>
      <c r="P259" s="58"/>
      <c r="Q259" s="58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8:O88"/>
    <mergeCell ref="B114:O114"/>
    <mergeCell ref="B145:O145"/>
    <mergeCell ref="B204:O204"/>
    <mergeCell ref="B55:O55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workbookViewId="0">
      <selection activeCell="M16" sqref="M16"/>
    </sheetView>
  </sheetViews>
  <sheetFormatPr defaultRowHeight="13.2" x14ac:dyDescent="0.25"/>
  <cols>
    <col min="1" max="1" width="8.33203125" style="111" customWidth="1"/>
    <col min="2" max="2" width="65.6640625" style="15" customWidth="1"/>
    <col min="3" max="3" width="15.88671875" style="15" customWidth="1"/>
    <col min="4" max="4" width="3.6640625" style="15" customWidth="1"/>
    <col min="5" max="251" width="9.109375" style="15"/>
    <col min="252" max="252" width="8.33203125" style="15" customWidth="1"/>
    <col min="253" max="253" width="65.6640625" style="15" customWidth="1"/>
    <col min="254" max="254" width="15.88671875" style="15" customWidth="1"/>
    <col min="255" max="255" width="3.6640625" style="15" customWidth="1"/>
    <col min="256" max="507" width="9.109375" style="15"/>
    <col min="508" max="508" width="8.33203125" style="15" customWidth="1"/>
    <col min="509" max="509" width="65.6640625" style="15" customWidth="1"/>
    <col min="510" max="510" width="15.88671875" style="15" customWidth="1"/>
    <col min="511" max="511" width="3.6640625" style="15" customWidth="1"/>
    <col min="512" max="763" width="9.109375" style="15"/>
    <col min="764" max="764" width="8.33203125" style="15" customWidth="1"/>
    <col min="765" max="765" width="65.6640625" style="15" customWidth="1"/>
    <col min="766" max="766" width="15.88671875" style="15" customWidth="1"/>
    <col min="767" max="767" width="3.6640625" style="15" customWidth="1"/>
    <col min="768" max="1019" width="9.109375" style="15"/>
    <col min="1020" max="1020" width="8.33203125" style="15" customWidth="1"/>
    <col min="1021" max="1021" width="65.6640625" style="15" customWidth="1"/>
    <col min="1022" max="1022" width="15.88671875" style="15" customWidth="1"/>
    <col min="1023" max="1023" width="3.6640625" style="15" customWidth="1"/>
    <col min="1024" max="1275" width="9.109375" style="15"/>
    <col min="1276" max="1276" width="8.33203125" style="15" customWidth="1"/>
    <col min="1277" max="1277" width="65.6640625" style="15" customWidth="1"/>
    <col min="1278" max="1278" width="15.88671875" style="15" customWidth="1"/>
    <col min="1279" max="1279" width="3.6640625" style="15" customWidth="1"/>
    <col min="1280" max="1531" width="9.109375" style="15"/>
    <col min="1532" max="1532" width="8.33203125" style="15" customWidth="1"/>
    <col min="1533" max="1533" width="65.6640625" style="15" customWidth="1"/>
    <col min="1534" max="1534" width="15.88671875" style="15" customWidth="1"/>
    <col min="1535" max="1535" width="3.6640625" style="15" customWidth="1"/>
    <col min="1536" max="1787" width="9.109375" style="15"/>
    <col min="1788" max="1788" width="8.33203125" style="15" customWidth="1"/>
    <col min="1789" max="1789" width="65.6640625" style="15" customWidth="1"/>
    <col min="1790" max="1790" width="15.88671875" style="15" customWidth="1"/>
    <col min="1791" max="1791" width="3.6640625" style="15" customWidth="1"/>
    <col min="1792" max="2043" width="9.109375" style="15"/>
    <col min="2044" max="2044" width="8.33203125" style="15" customWidth="1"/>
    <col min="2045" max="2045" width="65.6640625" style="15" customWidth="1"/>
    <col min="2046" max="2046" width="15.88671875" style="15" customWidth="1"/>
    <col min="2047" max="2047" width="3.6640625" style="15" customWidth="1"/>
    <col min="2048" max="2299" width="9.109375" style="15"/>
    <col min="2300" max="2300" width="8.33203125" style="15" customWidth="1"/>
    <col min="2301" max="2301" width="65.6640625" style="15" customWidth="1"/>
    <col min="2302" max="2302" width="15.88671875" style="15" customWidth="1"/>
    <col min="2303" max="2303" width="3.6640625" style="15" customWidth="1"/>
    <col min="2304" max="2555" width="9.109375" style="15"/>
    <col min="2556" max="2556" width="8.33203125" style="15" customWidth="1"/>
    <col min="2557" max="2557" width="65.6640625" style="15" customWidth="1"/>
    <col min="2558" max="2558" width="15.88671875" style="15" customWidth="1"/>
    <col min="2559" max="2559" width="3.6640625" style="15" customWidth="1"/>
    <col min="2560" max="2811" width="9.109375" style="15"/>
    <col min="2812" max="2812" width="8.33203125" style="15" customWidth="1"/>
    <col min="2813" max="2813" width="65.6640625" style="15" customWidth="1"/>
    <col min="2814" max="2814" width="15.88671875" style="15" customWidth="1"/>
    <col min="2815" max="2815" width="3.6640625" style="15" customWidth="1"/>
    <col min="2816" max="3067" width="9.109375" style="15"/>
    <col min="3068" max="3068" width="8.33203125" style="15" customWidth="1"/>
    <col min="3069" max="3069" width="65.6640625" style="15" customWidth="1"/>
    <col min="3070" max="3070" width="15.88671875" style="15" customWidth="1"/>
    <col min="3071" max="3071" width="3.6640625" style="15" customWidth="1"/>
    <col min="3072" max="3323" width="9.109375" style="15"/>
    <col min="3324" max="3324" width="8.33203125" style="15" customWidth="1"/>
    <col min="3325" max="3325" width="65.6640625" style="15" customWidth="1"/>
    <col min="3326" max="3326" width="15.88671875" style="15" customWidth="1"/>
    <col min="3327" max="3327" width="3.6640625" style="15" customWidth="1"/>
    <col min="3328" max="3579" width="9.109375" style="15"/>
    <col min="3580" max="3580" width="8.33203125" style="15" customWidth="1"/>
    <col min="3581" max="3581" width="65.6640625" style="15" customWidth="1"/>
    <col min="3582" max="3582" width="15.88671875" style="15" customWidth="1"/>
    <col min="3583" max="3583" width="3.6640625" style="15" customWidth="1"/>
    <col min="3584" max="3835" width="9.109375" style="15"/>
    <col min="3836" max="3836" width="8.33203125" style="15" customWidth="1"/>
    <col min="3837" max="3837" width="65.6640625" style="15" customWidth="1"/>
    <col min="3838" max="3838" width="15.88671875" style="15" customWidth="1"/>
    <col min="3839" max="3839" width="3.6640625" style="15" customWidth="1"/>
    <col min="3840" max="4091" width="9.109375" style="15"/>
    <col min="4092" max="4092" width="8.33203125" style="15" customWidth="1"/>
    <col min="4093" max="4093" width="65.6640625" style="15" customWidth="1"/>
    <col min="4094" max="4094" width="15.88671875" style="15" customWidth="1"/>
    <col min="4095" max="4095" width="3.6640625" style="15" customWidth="1"/>
    <col min="4096" max="4347" width="9.109375" style="15"/>
    <col min="4348" max="4348" width="8.33203125" style="15" customWidth="1"/>
    <col min="4349" max="4349" width="65.6640625" style="15" customWidth="1"/>
    <col min="4350" max="4350" width="15.88671875" style="15" customWidth="1"/>
    <col min="4351" max="4351" width="3.6640625" style="15" customWidth="1"/>
    <col min="4352" max="4603" width="9.109375" style="15"/>
    <col min="4604" max="4604" width="8.33203125" style="15" customWidth="1"/>
    <col min="4605" max="4605" width="65.6640625" style="15" customWidth="1"/>
    <col min="4606" max="4606" width="15.88671875" style="15" customWidth="1"/>
    <col min="4607" max="4607" width="3.6640625" style="15" customWidth="1"/>
    <col min="4608" max="4859" width="9.109375" style="15"/>
    <col min="4860" max="4860" width="8.33203125" style="15" customWidth="1"/>
    <col min="4861" max="4861" width="65.6640625" style="15" customWidth="1"/>
    <col min="4862" max="4862" width="15.88671875" style="15" customWidth="1"/>
    <col min="4863" max="4863" width="3.6640625" style="15" customWidth="1"/>
    <col min="4864" max="5115" width="9.109375" style="15"/>
    <col min="5116" max="5116" width="8.33203125" style="15" customWidth="1"/>
    <col min="5117" max="5117" width="65.6640625" style="15" customWidth="1"/>
    <col min="5118" max="5118" width="15.88671875" style="15" customWidth="1"/>
    <col min="5119" max="5119" width="3.6640625" style="15" customWidth="1"/>
    <col min="5120" max="5371" width="9.109375" style="15"/>
    <col min="5372" max="5372" width="8.33203125" style="15" customWidth="1"/>
    <col min="5373" max="5373" width="65.6640625" style="15" customWidth="1"/>
    <col min="5374" max="5374" width="15.88671875" style="15" customWidth="1"/>
    <col min="5375" max="5375" width="3.6640625" style="15" customWidth="1"/>
    <col min="5376" max="5627" width="9.109375" style="15"/>
    <col min="5628" max="5628" width="8.33203125" style="15" customWidth="1"/>
    <col min="5629" max="5629" width="65.6640625" style="15" customWidth="1"/>
    <col min="5630" max="5630" width="15.88671875" style="15" customWidth="1"/>
    <col min="5631" max="5631" width="3.6640625" style="15" customWidth="1"/>
    <col min="5632" max="5883" width="9.109375" style="15"/>
    <col min="5884" max="5884" width="8.33203125" style="15" customWidth="1"/>
    <col min="5885" max="5885" width="65.6640625" style="15" customWidth="1"/>
    <col min="5886" max="5886" width="15.88671875" style="15" customWidth="1"/>
    <col min="5887" max="5887" width="3.6640625" style="15" customWidth="1"/>
    <col min="5888" max="6139" width="9.109375" style="15"/>
    <col min="6140" max="6140" width="8.33203125" style="15" customWidth="1"/>
    <col min="6141" max="6141" width="65.6640625" style="15" customWidth="1"/>
    <col min="6142" max="6142" width="15.88671875" style="15" customWidth="1"/>
    <col min="6143" max="6143" width="3.6640625" style="15" customWidth="1"/>
    <col min="6144" max="6395" width="9.109375" style="15"/>
    <col min="6396" max="6396" width="8.33203125" style="15" customWidth="1"/>
    <col min="6397" max="6397" width="65.6640625" style="15" customWidth="1"/>
    <col min="6398" max="6398" width="15.88671875" style="15" customWidth="1"/>
    <col min="6399" max="6399" width="3.6640625" style="15" customWidth="1"/>
    <col min="6400" max="6651" width="9.109375" style="15"/>
    <col min="6652" max="6652" width="8.33203125" style="15" customWidth="1"/>
    <col min="6653" max="6653" width="65.6640625" style="15" customWidth="1"/>
    <col min="6654" max="6654" width="15.88671875" style="15" customWidth="1"/>
    <col min="6655" max="6655" width="3.6640625" style="15" customWidth="1"/>
    <col min="6656" max="6907" width="9.109375" style="15"/>
    <col min="6908" max="6908" width="8.33203125" style="15" customWidth="1"/>
    <col min="6909" max="6909" width="65.6640625" style="15" customWidth="1"/>
    <col min="6910" max="6910" width="15.88671875" style="15" customWidth="1"/>
    <col min="6911" max="6911" width="3.6640625" style="15" customWidth="1"/>
    <col min="6912" max="7163" width="9.109375" style="15"/>
    <col min="7164" max="7164" width="8.33203125" style="15" customWidth="1"/>
    <col min="7165" max="7165" width="65.6640625" style="15" customWidth="1"/>
    <col min="7166" max="7166" width="15.88671875" style="15" customWidth="1"/>
    <col min="7167" max="7167" width="3.6640625" style="15" customWidth="1"/>
    <col min="7168" max="7419" width="9.109375" style="15"/>
    <col min="7420" max="7420" width="8.33203125" style="15" customWidth="1"/>
    <col min="7421" max="7421" width="65.6640625" style="15" customWidth="1"/>
    <col min="7422" max="7422" width="15.88671875" style="15" customWidth="1"/>
    <col min="7423" max="7423" width="3.6640625" style="15" customWidth="1"/>
    <col min="7424" max="7675" width="9.109375" style="15"/>
    <col min="7676" max="7676" width="8.33203125" style="15" customWidth="1"/>
    <col min="7677" max="7677" width="65.6640625" style="15" customWidth="1"/>
    <col min="7678" max="7678" width="15.88671875" style="15" customWidth="1"/>
    <col min="7679" max="7679" width="3.6640625" style="15" customWidth="1"/>
    <col min="7680" max="7931" width="9.109375" style="15"/>
    <col min="7932" max="7932" width="8.33203125" style="15" customWidth="1"/>
    <col min="7933" max="7933" width="65.6640625" style="15" customWidth="1"/>
    <col min="7934" max="7934" width="15.88671875" style="15" customWidth="1"/>
    <col min="7935" max="7935" width="3.6640625" style="15" customWidth="1"/>
    <col min="7936" max="8187" width="9.109375" style="15"/>
    <col min="8188" max="8188" width="8.33203125" style="15" customWidth="1"/>
    <col min="8189" max="8189" width="65.6640625" style="15" customWidth="1"/>
    <col min="8190" max="8190" width="15.88671875" style="15" customWidth="1"/>
    <col min="8191" max="8191" width="3.6640625" style="15" customWidth="1"/>
    <col min="8192" max="8443" width="9.109375" style="15"/>
    <col min="8444" max="8444" width="8.33203125" style="15" customWidth="1"/>
    <col min="8445" max="8445" width="65.6640625" style="15" customWidth="1"/>
    <col min="8446" max="8446" width="15.88671875" style="15" customWidth="1"/>
    <col min="8447" max="8447" width="3.6640625" style="15" customWidth="1"/>
    <col min="8448" max="8699" width="9.109375" style="15"/>
    <col min="8700" max="8700" width="8.33203125" style="15" customWidth="1"/>
    <col min="8701" max="8701" width="65.6640625" style="15" customWidth="1"/>
    <col min="8702" max="8702" width="15.88671875" style="15" customWidth="1"/>
    <col min="8703" max="8703" width="3.6640625" style="15" customWidth="1"/>
    <col min="8704" max="8955" width="9.109375" style="15"/>
    <col min="8956" max="8956" width="8.33203125" style="15" customWidth="1"/>
    <col min="8957" max="8957" width="65.6640625" style="15" customWidth="1"/>
    <col min="8958" max="8958" width="15.88671875" style="15" customWidth="1"/>
    <col min="8959" max="8959" width="3.6640625" style="15" customWidth="1"/>
    <col min="8960" max="9211" width="9.109375" style="15"/>
    <col min="9212" max="9212" width="8.33203125" style="15" customWidth="1"/>
    <col min="9213" max="9213" width="65.6640625" style="15" customWidth="1"/>
    <col min="9214" max="9214" width="15.88671875" style="15" customWidth="1"/>
    <col min="9215" max="9215" width="3.6640625" style="15" customWidth="1"/>
    <col min="9216" max="9467" width="9.109375" style="15"/>
    <col min="9468" max="9468" width="8.33203125" style="15" customWidth="1"/>
    <col min="9469" max="9469" width="65.6640625" style="15" customWidth="1"/>
    <col min="9470" max="9470" width="15.88671875" style="15" customWidth="1"/>
    <col min="9471" max="9471" width="3.6640625" style="15" customWidth="1"/>
    <col min="9472" max="9723" width="9.109375" style="15"/>
    <col min="9724" max="9724" width="8.33203125" style="15" customWidth="1"/>
    <col min="9725" max="9725" width="65.6640625" style="15" customWidth="1"/>
    <col min="9726" max="9726" width="15.88671875" style="15" customWidth="1"/>
    <col min="9727" max="9727" width="3.6640625" style="15" customWidth="1"/>
    <col min="9728" max="9979" width="9.109375" style="15"/>
    <col min="9980" max="9980" width="8.33203125" style="15" customWidth="1"/>
    <col min="9981" max="9981" width="65.6640625" style="15" customWidth="1"/>
    <col min="9982" max="9982" width="15.88671875" style="15" customWidth="1"/>
    <col min="9983" max="9983" width="3.6640625" style="15" customWidth="1"/>
    <col min="9984" max="10235" width="9.109375" style="15"/>
    <col min="10236" max="10236" width="8.33203125" style="15" customWidth="1"/>
    <col min="10237" max="10237" width="65.6640625" style="15" customWidth="1"/>
    <col min="10238" max="10238" width="15.88671875" style="15" customWidth="1"/>
    <col min="10239" max="10239" width="3.6640625" style="15" customWidth="1"/>
    <col min="10240" max="10491" width="9.109375" style="15"/>
    <col min="10492" max="10492" width="8.33203125" style="15" customWidth="1"/>
    <col min="10493" max="10493" width="65.6640625" style="15" customWidth="1"/>
    <col min="10494" max="10494" width="15.88671875" style="15" customWidth="1"/>
    <col min="10495" max="10495" width="3.6640625" style="15" customWidth="1"/>
    <col min="10496" max="10747" width="9.109375" style="15"/>
    <col min="10748" max="10748" width="8.33203125" style="15" customWidth="1"/>
    <col min="10749" max="10749" width="65.6640625" style="15" customWidth="1"/>
    <col min="10750" max="10750" width="15.88671875" style="15" customWidth="1"/>
    <col min="10751" max="10751" width="3.6640625" style="15" customWidth="1"/>
    <col min="10752" max="11003" width="9.109375" style="15"/>
    <col min="11004" max="11004" width="8.33203125" style="15" customWidth="1"/>
    <col min="11005" max="11005" width="65.6640625" style="15" customWidth="1"/>
    <col min="11006" max="11006" width="15.88671875" style="15" customWidth="1"/>
    <col min="11007" max="11007" width="3.6640625" style="15" customWidth="1"/>
    <col min="11008" max="11259" width="9.109375" style="15"/>
    <col min="11260" max="11260" width="8.33203125" style="15" customWidth="1"/>
    <col min="11261" max="11261" width="65.6640625" style="15" customWidth="1"/>
    <col min="11262" max="11262" width="15.88671875" style="15" customWidth="1"/>
    <col min="11263" max="11263" width="3.6640625" style="15" customWidth="1"/>
    <col min="11264" max="11515" width="9.109375" style="15"/>
    <col min="11516" max="11516" width="8.33203125" style="15" customWidth="1"/>
    <col min="11517" max="11517" width="65.6640625" style="15" customWidth="1"/>
    <col min="11518" max="11518" width="15.88671875" style="15" customWidth="1"/>
    <col min="11519" max="11519" width="3.6640625" style="15" customWidth="1"/>
    <col min="11520" max="11771" width="9.109375" style="15"/>
    <col min="11772" max="11772" width="8.33203125" style="15" customWidth="1"/>
    <col min="11773" max="11773" width="65.6640625" style="15" customWidth="1"/>
    <col min="11774" max="11774" width="15.88671875" style="15" customWidth="1"/>
    <col min="11775" max="11775" width="3.6640625" style="15" customWidth="1"/>
    <col min="11776" max="12027" width="9.109375" style="15"/>
    <col min="12028" max="12028" width="8.33203125" style="15" customWidth="1"/>
    <col min="12029" max="12029" width="65.6640625" style="15" customWidth="1"/>
    <col min="12030" max="12030" width="15.88671875" style="15" customWidth="1"/>
    <col min="12031" max="12031" width="3.6640625" style="15" customWidth="1"/>
    <col min="12032" max="12283" width="9.109375" style="15"/>
    <col min="12284" max="12284" width="8.33203125" style="15" customWidth="1"/>
    <col min="12285" max="12285" width="65.6640625" style="15" customWidth="1"/>
    <col min="12286" max="12286" width="15.88671875" style="15" customWidth="1"/>
    <col min="12287" max="12287" width="3.6640625" style="15" customWidth="1"/>
    <col min="12288" max="12539" width="9.109375" style="15"/>
    <col min="12540" max="12540" width="8.33203125" style="15" customWidth="1"/>
    <col min="12541" max="12541" width="65.6640625" style="15" customWidth="1"/>
    <col min="12542" max="12542" width="15.88671875" style="15" customWidth="1"/>
    <col min="12543" max="12543" width="3.6640625" style="15" customWidth="1"/>
    <col min="12544" max="12795" width="9.109375" style="15"/>
    <col min="12796" max="12796" width="8.33203125" style="15" customWidth="1"/>
    <col min="12797" max="12797" width="65.6640625" style="15" customWidth="1"/>
    <col min="12798" max="12798" width="15.88671875" style="15" customWidth="1"/>
    <col min="12799" max="12799" width="3.6640625" style="15" customWidth="1"/>
    <col min="12800" max="13051" width="9.109375" style="15"/>
    <col min="13052" max="13052" width="8.33203125" style="15" customWidth="1"/>
    <col min="13053" max="13053" width="65.6640625" style="15" customWidth="1"/>
    <col min="13054" max="13054" width="15.88671875" style="15" customWidth="1"/>
    <col min="13055" max="13055" width="3.6640625" style="15" customWidth="1"/>
    <col min="13056" max="13307" width="9.109375" style="15"/>
    <col min="13308" max="13308" width="8.33203125" style="15" customWidth="1"/>
    <col min="13309" max="13309" width="65.6640625" style="15" customWidth="1"/>
    <col min="13310" max="13310" width="15.88671875" style="15" customWidth="1"/>
    <col min="13311" max="13311" width="3.6640625" style="15" customWidth="1"/>
    <col min="13312" max="13563" width="9.109375" style="15"/>
    <col min="13564" max="13564" width="8.33203125" style="15" customWidth="1"/>
    <col min="13565" max="13565" width="65.6640625" style="15" customWidth="1"/>
    <col min="13566" max="13566" width="15.88671875" style="15" customWidth="1"/>
    <col min="13567" max="13567" width="3.6640625" style="15" customWidth="1"/>
    <col min="13568" max="13819" width="9.109375" style="15"/>
    <col min="13820" max="13820" width="8.33203125" style="15" customWidth="1"/>
    <col min="13821" max="13821" width="65.6640625" style="15" customWidth="1"/>
    <col min="13822" max="13822" width="15.88671875" style="15" customWidth="1"/>
    <col min="13823" max="13823" width="3.6640625" style="15" customWidth="1"/>
    <col min="13824" max="14075" width="9.109375" style="15"/>
    <col min="14076" max="14076" width="8.33203125" style="15" customWidth="1"/>
    <col min="14077" max="14077" width="65.6640625" style="15" customWidth="1"/>
    <col min="14078" max="14078" width="15.88671875" style="15" customWidth="1"/>
    <col min="14079" max="14079" width="3.6640625" style="15" customWidth="1"/>
    <col min="14080" max="14331" width="9.109375" style="15"/>
    <col min="14332" max="14332" width="8.33203125" style="15" customWidth="1"/>
    <col min="14333" max="14333" width="65.6640625" style="15" customWidth="1"/>
    <col min="14334" max="14334" width="15.88671875" style="15" customWidth="1"/>
    <col min="14335" max="14335" width="3.6640625" style="15" customWidth="1"/>
    <col min="14336" max="14587" width="9.109375" style="15"/>
    <col min="14588" max="14588" width="8.33203125" style="15" customWidth="1"/>
    <col min="14589" max="14589" width="65.6640625" style="15" customWidth="1"/>
    <col min="14590" max="14590" width="15.88671875" style="15" customWidth="1"/>
    <col min="14591" max="14591" width="3.6640625" style="15" customWidth="1"/>
    <col min="14592" max="14843" width="9.109375" style="15"/>
    <col min="14844" max="14844" width="8.33203125" style="15" customWidth="1"/>
    <col min="14845" max="14845" width="65.6640625" style="15" customWidth="1"/>
    <col min="14846" max="14846" width="15.88671875" style="15" customWidth="1"/>
    <col min="14847" max="14847" width="3.6640625" style="15" customWidth="1"/>
    <col min="14848" max="15099" width="9.109375" style="15"/>
    <col min="15100" max="15100" width="8.33203125" style="15" customWidth="1"/>
    <col min="15101" max="15101" width="65.6640625" style="15" customWidth="1"/>
    <col min="15102" max="15102" width="15.88671875" style="15" customWidth="1"/>
    <col min="15103" max="15103" width="3.6640625" style="15" customWidth="1"/>
    <col min="15104" max="15355" width="9.109375" style="15"/>
    <col min="15356" max="15356" width="8.33203125" style="15" customWidth="1"/>
    <col min="15357" max="15357" width="65.6640625" style="15" customWidth="1"/>
    <col min="15358" max="15358" width="15.88671875" style="15" customWidth="1"/>
    <col min="15359" max="15359" width="3.6640625" style="15" customWidth="1"/>
    <col min="15360" max="15611" width="9.109375" style="15"/>
    <col min="15612" max="15612" width="8.33203125" style="15" customWidth="1"/>
    <col min="15613" max="15613" width="65.6640625" style="15" customWidth="1"/>
    <col min="15614" max="15614" width="15.88671875" style="15" customWidth="1"/>
    <col min="15615" max="15615" width="3.6640625" style="15" customWidth="1"/>
    <col min="15616" max="15867" width="9.109375" style="15"/>
    <col min="15868" max="15868" width="8.33203125" style="15" customWidth="1"/>
    <col min="15869" max="15869" width="65.6640625" style="15" customWidth="1"/>
    <col min="15870" max="15870" width="15.88671875" style="15" customWidth="1"/>
    <col min="15871" max="15871" width="3.6640625" style="15" customWidth="1"/>
    <col min="15872" max="16123" width="9.109375" style="15"/>
    <col min="16124" max="16124" width="8.33203125" style="15" customWidth="1"/>
    <col min="16125" max="16125" width="65.6640625" style="15" customWidth="1"/>
    <col min="16126" max="16126" width="15.88671875" style="15" customWidth="1"/>
    <col min="16127" max="16127" width="3.6640625" style="15" customWidth="1"/>
    <col min="16128" max="16384" width="9.109375" style="15"/>
  </cols>
  <sheetData>
    <row r="1" spans="1:4" s="8" customFormat="1" ht="15.6" x14ac:dyDescent="0.3">
      <c r="A1" s="7"/>
      <c r="B1" s="121" t="s">
        <v>208</v>
      </c>
      <c r="C1" s="121"/>
    </row>
    <row r="2" spans="1:4" s="8" customFormat="1" ht="15.6" x14ac:dyDescent="0.3">
      <c r="A2" s="7"/>
      <c r="B2" s="121" t="s">
        <v>488</v>
      </c>
      <c r="C2" s="121"/>
    </row>
    <row r="3" spans="1:4" s="8" customFormat="1" ht="15.6" x14ac:dyDescent="0.3">
      <c r="A3" s="7"/>
      <c r="B3" s="16" t="s">
        <v>586</v>
      </c>
      <c r="C3" s="16"/>
    </row>
    <row r="4" spans="1:4" s="8" customFormat="1" ht="15.6" x14ac:dyDescent="0.3">
      <c r="A4" s="7"/>
      <c r="B4" s="16" t="s">
        <v>554</v>
      </c>
      <c r="C4" s="16"/>
    </row>
    <row r="5" spans="1:4" s="8" customFormat="1" ht="15.6" x14ac:dyDescent="0.3">
      <c r="A5" s="7"/>
      <c r="B5" s="16" t="s">
        <v>553</v>
      </c>
      <c r="C5" s="17"/>
    </row>
    <row r="6" spans="1:4" ht="15.6" x14ac:dyDescent="0.3">
      <c r="A6" s="97"/>
      <c r="B6" s="17"/>
      <c r="C6" s="17"/>
      <c r="D6" s="2"/>
    </row>
    <row r="7" spans="1:4" ht="15.6" x14ac:dyDescent="0.3">
      <c r="A7" s="122" t="s">
        <v>522</v>
      </c>
      <c r="B7" s="122"/>
      <c r="C7" s="122"/>
    </row>
    <row r="8" spans="1:4" ht="15.6" x14ac:dyDescent="0.3">
      <c r="A8" s="122" t="s">
        <v>523</v>
      </c>
      <c r="B8" s="122"/>
      <c r="C8" s="122"/>
    </row>
    <row r="9" spans="1:4" ht="13.8" x14ac:dyDescent="0.25">
      <c r="A9" s="97"/>
    </row>
    <row r="10" spans="1:4" ht="13.8" x14ac:dyDescent="0.25">
      <c r="A10" s="97"/>
    </row>
    <row r="11" spans="1:4" ht="15" customHeight="1" x14ac:dyDescent="0.25">
      <c r="A11" s="135" t="s">
        <v>36</v>
      </c>
      <c r="B11" s="135" t="s">
        <v>524</v>
      </c>
      <c r="C11" s="135" t="s">
        <v>525</v>
      </c>
    </row>
    <row r="12" spans="1:4" ht="18.75" customHeight="1" x14ac:dyDescent="0.25">
      <c r="A12" s="136"/>
      <c r="B12" s="136"/>
      <c r="C12" s="136"/>
    </row>
    <row r="13" spans="1:4" ht="15.6" x14ac:dyDescent="0.25">
      <c r="A13" s="98" t="s">
        <v>49</v>
      </c>
      <c r="B13" s="99" t="s">
        <v>526</v>
      </c>
      <c r="C13" s="100">
        <v>243700</v>
      </c>
    </row>
    <row r="14" spans="1:4" ht="15.6" x14ac:dyDescent="0.25">
      <c r="A14" s="98" t="s">
        <v>48</v>
      </c>
      <c r="B14" s="99" t="s">
        <v>527</v>
      </c>
      <c r="C14" s="100">
        <v>259000</v>
      </c>
    </row>
    <row r="15" spans="1:4" ht="15.6" x14ac:dyDescent="0.25">
      <c r="A15" s="98" t="s">
        <v>50</v>
      </c>
      <c r="B15" s="99" t="s">
        <v>528</v>
      </c>
      <c r="C15" s="101">
        <f>38900-600</f>
        <v>38300</v>
      </c>
    </row>
    <row r="16" spans="1:4" ht="15.6" x14ac:dyDescent="0.25">
      <c r="A16" s="98" t="s">
        <v>51</v>
      </c>
      <c r="B16" s="99" t="s">
        <v>529</v>
      </c>
      <c r="C16" s="101">
        <f>824200+25500</f>
        <v>849700</v>
      </c>
    </row>
    <row r="17" spans="1:3" ht="15.6" x14ac:dyDescent="0.25">
      <c r="A17" s="98" t="s">
        <v>52</v>
      </c>
      <c r="B17" s="102" t="s">
        <v>530</v>
      </c>
      <c r="C17" s="101">
        <v>4100</v>
      </c>
    </row>
    <row r="18" spans="1:3" ht="15.6" x14ac:dyDescent="0.25">
      <c r="A18" s="98" t="s">
        <v>53</v>
      </c>
      <c r="B18" s="99" t="s">
        <v>531</v>
      </c>
      <c r="C18" s="101">
        <v>25200</v>
      </c>
    </row>
    <row r="19" spans="1:3" ht="31.2" x14ac:dyDescent="0.25">
      <c r="A19" s="98" t="s">
        <v>54</v>
      </c>
      <c r="B19" s="99" t="s">
        <v>532</v>
      </c>
      <c r="C19" s="100">
        <v>600</v>
      </c>
    </row>
    <row r="20" spans="1:3" ht="31.2" x14ac:dyDescent="0.25">
      <c r="A20" s="98" t="s">
        <v>55</v>
      </c>
      <c r="B20" s="99" t="s">
        <v>533</v>
      </c>
      <c r="C20" s="100">
        <v>500</v>
      </c>
    </row>
    <row r="21" spans="1:3" ht="31.2" x14ac:dyDescent="0.25">
      <c r="A21" s="98" t="s">
        <v>56</v>
      </c>
      <c r="B21" s="99" t="s">
        <v>534</v>
      </c>
      <c r="C21" s="101">
        <v>2700</v>
      </c>
    </row>
    <row r="22" spans="1:3" ht="15.6" x14ac:dyDescent="0.25">
      <c r="A22" s="98" t="s">
        <v>57</v>
      </c>
      <c r="B22" s="99" t="s">
        <v>535</v>
      </c>
      <c r="C22" s="101">
        <v>9000</v>
      </c>
    </row>
    <row r="23" spans="1:3" ht="15.6" x14ac:dyDescent="0.25">
      <c r="A23" s="98" t="s">
        <v>58</v>
      </c>
      <c r="B23" s="99" t="s">
        <v>536</v>
      </c>
      <c r="C23" s="100">
        <v>25700</v>
      </c>
    </row>
    <row r="24" spans="1:3" ht="31.2" x14ac:dyDescent="0.25">
      <c r="A24" s="98" t="s">
        <v>59</v>
      </c>
      <c r="B24" s="99" t="s">
        <v>537</v>
      </c>
      <c r="C24" s="101">
        <f>16500-4600</f>
        <v>11900</v>
      </c>
    </row>
    <row r="25" spans="1:3" ht="15.6" x14ac:dyDescent="0.25">
      <c r="A25" s="98" t="s">
        <v>538</v>
      </c>
      <c r="B25" s="99" t="s">
        <v>539</v>
      </c>
      <c r="C25" s="100">
        <f>219700-4400-19200</f>
        <v>196100</v>
      </c>
    </row>
    <row r="26" spans="1:3" ht="15.6" x14ac:dyDescent="0.25">
      <c r="A26" s="98" t="s">
        <v>60</v>
      </c>
      <c r="B26" s="99" t="s">
        <v>540</v>
      </c>
      <c r="C26" s="118">
        <f>499300+5000</f>
        <v>504300</v>
      </c>
    </row>
    <row r="27" spans="1:3" ht="15.6" x14ac:dyDescent="0.25">
      <c r="A27" s="98" t="s">
        <v>90</v>
      </c>
      <c r="B27" s="99" t="s">
        <v>541</v>
      </c>
      <c r="C27" s="118">
        <f>1389800+103500+143000-39000-36700</f>
        <v>1560600</v>
      </c>
    </row>
    <row r="28" spans="1:3" ht="15.6" x14ac:dyDescent="0.25">
      <c r="A28" s="98" t="s">
        <v>91</v>
      </c>
      <c r="B28" s="99" t="s">
        <v>542</v>
      </c>
      <c r="C28" s="100">
        <f>19300+2000</f>
        <v>21300</v>
      </c>
    </row>
    <row r="29" spans="1:3" ht="15.6" x14ac:dyDescent="0.25">
      <c r="A29" s="98" t="s">
        <v>92</v>
      </c>
      <c r="B29" s="103" t="s">
        <v>543</v>
      </c>
      <c r="C29" s="104">
        <v>157500</v>
      </c>
    </row>
    <row r="30" spans="1:3" ht="15.6" x14ac:dyDescent="0.25">
      <c r="A30" s="98" t="s">
        <v>93</v>
      </c>
      <c r="B30" s="99" t="s">
        <v>544</v>
      </c>
      <c r="C30" s="100">
        <f>0+1700</f>
        <v>1700</v>
      </c>
    </row>
    <row r="31" spans="1:3" ht="15.6" x14ac:dyDescent="0.25">
      <c r="A31" s="98" t="s">
        <v>94</v>
      </c>
      <c r="B31" s="99" t="s">
        <v>545</v>
      </c>
      <c r="C31" s="100">
        <v>2000</v>
      </c>
    </row>
    <row r="32" spans="1:3" ht="15.6" x14ac:dyDescent="0.25">
      <c r="A32" s="98" t="s">
        <v>124</v>
      </c>
      <c r="B32" s="99" t="s">
        <v>546</v>
      </c>
      <c r="C32" s="118">
        <f>8176+1301</f>
        <v>9477</v>
      </c>
    </row>
    <row r="33" spans="1:3" ht="31.2" x14ac:dyDescent="0.25">
      <c r="A33" s="98" t="s">
        <v>125</v>
      </c>
      <c r="B33" s="99" t="s">
        <v>547</v>
      </c>
      <c r="C33" s="100">
        <v>43896</v>
      </c>
    </row>
    <row r="34" spans="1:3" ht="46.8" x14ac:dyDescent="0.25">
      <c r="A34" s="98" t="s">
        <v>126</v>
      </c>
      <c r="B34" s="105" t="s">
        <v>548</v>
      </c>
      <c r="C34" s="100">
        <f>72160+146960</f>
        <v>219120</v>
      </c>
    </row>
    <row r="35" spans="1:3" ht="31.2" x14ac:dyDescent="0.25">
      <c r="A35" s="98" t="s">
        <v>127</v>
      </c>
      <c r="B35" s="99" t="s">
        <v>549</v>
      </c>
      <c r="C35" s="100">
        <v>70130</v>
      </c>
    </row>
    <row r="36" spans="1:3" ht="31.2" x14ac:dyDescent="0.25">
      <c r="A36" s="98" t="s">
        <v>128</v>
      </c>
      <c r="B36" s="99" t="s">
        <v>550</v>
      </c>
      <c r="C36" s="100">
        <v>31082</v>
      </c>
    </row>
    <row r="37" spans="1:3" s="7" customFormat="1" ht="15.6" x14ac:dyDescent="0.25">
      <c r="A37" s="106"/>
      <c r="B37" s="107" t="s">
        <v>551</v>
      </c>
      <c r="C37" s="108">
        <f>SUM(C13:C36)</f>
        <v>4287605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552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10" customFormat="1" ht="15.6" x14ac:dyDescent="0.3">
      <c r="A43" s="109"/>
      <c r="B43" s="2"/>
    </row>
    <row r="44" spans="1:3" s="110" customFormat="1" ht="15" x14ac:dyDescent="0.25">
      <c r="A44" s="109"/>
    </row>
    <row r="45" spans="1:3" s="110" customFormat="1" ht="15" x14ac:dyDescent="0.25">
      <c r="A45" s="109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2024-12-05T14:21:35Z</cp:lastPrinted>
  <dcterms:created xsi:type="dcterms:W3CDTF">2001-01-28T19:21:19Z</dcterms:created>
  <dcterms:modified xsi:type="dcterms:W3CDTF">2024-12-05T14:51:15Z</dcterms:modified>
</cp:coreProperties>
</file>