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-gruodis 2024-12/"/>
    </mc:Choice>
  </mc:AlternateContent>
  <xr:revisionPtr revIDLastSave="0" documentId="8_{099D0F65-0F2F-4C1A-8BE5-041927D7C4B4}" xr6:coauthVersionLast="47" xr6:coauthVersionMax="47" xr10:uidLastSave="{00000000-0000-0000-0000-000000000000}"/>
  <bookViews>
    <workbookView xWindow="-108" yWindow="-108" windowWidth="23256" windowHeight="12576" tabRatio="758" activeTab="1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207" i="19" l="1"/>
  <c r="C184" i="19"/>
  <c r="C147" i="19"/>
  <c r="C224" i="19"/>
  <c r="C59" i="19"/>
  <c r="C62" i="19"/>
  <c r="C67" i="19"/>
  <c r="C209" i="19"/>
  <c r="C222" i="19"/>
  <c r="C64" i="19"/>
  <c r="L148" i="19"/>
  <c r="F18" i="19"/>
  <c r="F215" i="19"/>
  <c r="F216" i="19"/>
  <c r="F212" i="19"/>
  <c r="F213" i="19"/>
  <c r="O196" i="19"/>
  <c r="L183" i="19"/>
  <c r="C19" i="18"/>
  <c r="C18" i="18"/>
  <c r="C12" i="18"/>
  <c r="C26" i="18"/>
  <c r="C22" i="18"/>
  <c r="C24" i="18"/>
  <c r="C29" i="15"/>
  <c r="C32" i="15"/>
  <c r="C38" i="15"/>
  <c r="C27" i="20"/>
  <c r="C32" i="20"/>
  <c r="C26" i="20"/>
  <c r="C132" i="19"/>
  <c r="C17" i="18"/>
  <c r="C15" i="18"/>
  <c r="C117" i="19"/>
  <c r="C82" i="19"/>
  <c r="F220" i="19"/>
  <c r="F222" i="19"/>
  <c r="F19" i="19"/>
  <c r="C25" i="18"/>
  <c r="C40" i="15"/>
  <c r="L105" i="19"/>
  <c r="C16" i="18"/>
  <c r="C21" i="18"/>
  <c r="C21" i="15"/>
  <c r="F87" i="19"/>
  <c r="C16" i="20"/>
  <c r="C28" i="20"/>
  <c r="C226" i="19"/>
  <c r="C52" i="19"/>
  <c r="C38" i="19"/>
  <c r="C191" i="19"/>
  <c r="C225" i="19"/>
  <c r="L91" i="19"/>
  <c r="L92" i="19"/>
  <c r="C101" i="19"/>
  <c r="C14" i="18"/>
  <c r="L26" i="19"/>
  <c r="L29" i="19"/>
  <c r="C28" i="15"/>
  <c r="C27" i="15"/>
  <c r="F246" i="19"/>
  <c r="L174" i="19"/>
  <c r="L147" i="19"/>
  <c r="L180" i="19"/>
  <c r="L162" i="19"/>
  <c r="L182" i="19"/>
  <c r="L154" i="19"/>
  <c r="L168" i="19"/>
  <c r="L249" i="19"/>
  <c r="L121" i="19"/>
  <c r="L116" i="19"/>
  <c r="L117" i="19"/>
  <c r="F218" i="19"/>
  <c r="C37" i="15"/>
  <c r="F207" i="19"/>
  <c r="F209" i="19"/>
  <c r="F227" i="19"/>
  <c r="C42" i="15"/>
  <c r="O86" i="19"/>
  <c r="O107" i="19"/>
  <c r="I97" i="19"/>
  <c r="F46" i="19"/>
  <c r="C13" i="18"/>
  <c r="F210" i="19"/>
  <c r="C25" i="20"/>
  <c r="C11" i="15" l="1"/>
  <c r="C17" i="19"/>
  <c r="F217" i="19"/>
  <c r="C131" i="19"/>
  <c r="C24" i="19" l="1"/>
  <c r="C28" i="19"/>
  <c r="C25" i="19"/>
  <c r="C22" i="19"/>
  <c r="C21" i="19"/>
  <c r="C182" i="19"/>
  <c r="C118" i="19"/>
  <c r="C116" i="19"/>
  <c r="C119" i="19"/>
  <c r="C249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C183" i="19" l="1"/>
  <c r="I182" i="19"/>
  <c r="I181" i="19"/>
  <c r="I174" i="19"/>
  <c r="I177" i="19"/>
  <c r="I168" i="19"/>
  <c r="I162" i="19"/>
  <c r="I155" i="19"/>
  <c r="I154" i="19"/>
  <c r="I148" i="19"/>
  <c r="I147" i="19"/>
  <c r="I192" i="19"/>
  <c r="I183" i="19" s="1"/>
  <c r="C23" i="18"/>
  <c r="C33" i="15"/>
  <c r="C36" i="15"/>
  <c r="F180" i="19"/>
  <c r="F155" i="19"/>
  <c r="F148" i="19"/>
  <c r="F181" i="19"/>
  <c r="L118" i="19" l="1"/>
  <c r="F106" i="19"/>
  <c r="F97" i="19" s="1"/>
  <c r="C48" i="15"/>
  <c r="O248" i="19"/>
  <c r="C30" i="20" l="1"/>
  <c r="L250" i="19"/>
  <c r="C250" i="19"/>
  <c r="C227" i="19"/>
  <c r="C20" i="15"/>
  <c r="F194" i="19" l="1"/>
  <c r="L155" i="19" l="1"/>
  <c r="F224" i="19"/>
  <c r="C44" i="15"/>
  <c r="C78" i="19" l="1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6" i="19"/>
  <c r="H206" i="19"/>
  <c r="H205" i="19" s="1"/>
  <c r="I206" i="19"/>
  <c r="I205" i="19" s="1"/>
  <c r="J206" i="19"/>
  <c r="J205" i="19" s="1"/>
  <c r="K206" i="19"/>
  <c r="L206" i="19"/>
  <c r="L205" i="19" s="1"/>
  <c r="D206" i="19"/>
  <c r="E206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4" i="19"/>
  <c r="O214" i="19" s="1"/>
  <c r="C241" i="19"/>
  <c r="O241" i="19" s="1"/>
  <c r="C242" i="19"/>
  <c r="C236" i="19"/>
  <c r="O236" i="19" s="1"/>
  <c r="O224" i="19"/>
  <c r="C233" i="19"/>
  <c r="O233" i="19" s="1"/>
  <c r="C235" i="19"/>
  <c r="O235" i="19" s="1"/>
  <c r="C102" i="19"/>
  <c r="C97" i="19" s="1"/>
  <c r="C69" i="19"/>
  <c r="O69" i="19" s="1"/>
  <c r="C66" i="19"/>
  <c r="O66" i="19" s="1"/>
  <c r="O62" i="19"/>
  <c r="O67" i="19"/>
  <c r="F195" i="19"/>
  <c r="O195" i="19" s="1"/>
  <c r="O247" i="19"/>
  <c r="O209" i="19"/>
  <c r="F208" i="19"/>
  <c r="O208" i="19" s="1"/>
  <c r="O213" i="19"/>
  <c r="O227" i="19"/>
  <c r="F221" i="19"/>
  <c r="O221" i="19" s="1"/>
  <c r="O220" i="19"/>
  <c r="O246" i="19"/>
  <c r="O194" i="19"/>
  <c r="F193" i="19"/>
  <c r="O193" i="19" s="1"/>
  <c r="C24" i="20"/>
  <c r="C15" i="20"/>
  <c r="C34" i="20"/>
  <c r="C163" i="19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3" i="19"/>
  <c r="O203" i="19" s="1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4" i="19"/>
  <c r="C253" i="19"/>
  <c r="O253" i="19" s="1"/>
  <c r="F252" i="19"/>
  <c r="G250" i="19"/>
  <c r="F250" i="19"/>
  <c r="D250" i="19"/>
  <c r="G249" i="19"/>
  <c r="F249" i="19"/>
  <c r="O249" i="19" s="1"/>
  <c r="D249" i="19"/>
  <c r="O245" i="19"/>
  <c r="O244" i="19"/>
  <c r="O243" i="19"/>
  <c r="O242" i="19"/>
  <c r="O240" i="19"/>
  <c r="O239" i="19"/>
  <c r="O238" i="19"/>
  <c r="O237" i="19"/>
  <c r="O234" i="19"/>
  <c r="O232" i="19"/>
  <c r="C231" i="19"/>
  <c r="O231" i="19" s="1"/>
  <c r="O230" i="19"/>
  <c r="O229" i="19"/>
  <c r="O228" i="19"/>
  <c r="O226" i="19"/>
  <c r="O225" i="19"/>
  <c r="F223" i="19"/>
  <c r="O223" i="19" s="1"/>
  <c r="O222" i="19"/>
  <c r="O219" i="19"/>
  <c r="O218" i="19"/>
  <c r="O217" i="19"/>
  <c r="O216" i="19"/>
  <c r="O215" i="19"/>
  <c r="O212" i="19"/>
  <c r="O211" i="19"/>
  <c r="O210" i="19"/>
  <c r="N206" i="19"/>
  <c r="N205" i="19" s="1"/>
  <c r="M206" i="19"/>
  <c r="M205" i="19" s="1"/>
  <c r="K205" i="19"/>
  <c r="E205" i="19"/>
  <c r="O202" i="19"/>
  <c r="O201" i="19"/>
  <c r="O200" i="19"/>
  <c r="O199" i="19"/>
  <c r="O198" i="19"/>
  <c r="N197" i="19"/>
  <c r="M197" i="19"/>
  <c r="L197" i="19"/>
  <c r="K197" i="19"/>
  <c r="J197" i="19"/>
  <c r="I197" i="19"/>
  <c r="H197" i="19"/>
  <c r="G197" i="19"/>
  <c r="F197" i="19"/>
  <c r="E197" i="19"/>
  <c r="D197" i="19"/>
  <c r="O192" i="19"/>
  <c r="O191" i="19"/>
  <c r="O190" i="19"/>
  <c r="O189" i="19"/>
  <c r="O188" i="19"/>
  <c r="F187" i="19"/>
  <c r="O186" i="19"/>
  <c r="O185" i="19"/>
  <c r="N183" i="19"/>
  <c r="M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5" i="19"/>
  <c r="O64" i="19"/>
  <c r="O63" i="19"/>
  <c r="O61" i="19"/>
  <c r="C60" i="19"/>
  <c r="O60" i="19" s="1"/>
  <c r="O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C20" i="18" l="1"/>
  <c r="O187" i="19"/>
  <c r="F183" i="19"/>
  <c r="J48" i="19"/>
  <c r="C162" i="19"/>
  <c r="O162" i="19" s="1"/>
  <c r="F57" i="19"/>
  <c r="F56" i="19" s="1"/>
  <c r="C57" i="19"/>
  <c r="L57" i="19"/>
  <c r="L56" i="19" s="1"/>
  <c r="C174" i="19"/>
  <c r="N48" i="19"/>
  <c r="K12" i="19"/>
  <c r="E89" i="19"/>
  <c r="D162" i="19"/>
  <c r="O184" i="19"/>
  <c r="C31" i="15"/>
  <c r="C57" i="15" s="1"/>
  <c r="C206" i="19"/>
  <c r="C205" i="19" s="1"/>
  <c r="O169" i="19"/>
  <c r="K89" i="19"/>
  <c r="H115" i="19"/>
  <c r="O149" i="19"/>
  <c r="C148" i="19"/>
  <c r="O176" i="19"/>
  <c r="M12" i="19"/>
  <c r="O127" i="19"/>
  <c r="G205" i="19"/>
  <c r="O207" i="19"/>
  <c r="O206" i="19" s="1"/>
  <c r="F206" i="19"/>
  <c r="F205" i="19" s="1"/>
  <c r="C48" i="19"/>
  <c r="O154" i="19"/>
  <c r="O102" i="19"/>
  <c r="M115" i="19"/>
  <c r="F115" i="19"/>
  <c r="J115" i="19"/>
  <c r="C140" i="19"/>
  <c r="G14" i="19"/>
  <c r="G12" i="19" s="1"/>
  <c r="C197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O183" i="19"/>
  <c r="N89" i="19"/>
  <c r="O118" i="19"/>
  <c r="E115" i="19"/>
  <c r="O140" i="19"/>
  <c r="O49" i="19"/>
  <c r="H146" i="19"/>
  <c r="N146" i="19"/>
  <c r="O174" i="19"/>
  <c r="N12" i="19"/>
  <c r="K115" i="19"/>
  <c r="O250" i="19"/>
  <c r="O156" i="19"/>
  <c r="G146" i="19"/>
  <c r="J146" i="19"/>
  <c r="O163" i="19"/>
  <c r="O197" i="19"/>
  <c r="D115" i="19"/>
  <c r="O152" i="19"/>
  <c r="C41" i="19"/>
  <c r="O41" i="19" s="1"/>
  <c r="I89" i="19"/>
  <c r="O117" i="19"/>
  <c r="D205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2" i="19"/>
  <c r="O252" i="19" s="1"/>
  <c r="O254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L90" i="19"/>
  <c r="C159" i="19"/>
  <c r="O159" i="19" s="1"/>
  <c r="D146" i="19" l="1"/>
  <c r="I57" i="19"/>
  <c r="I56" i="19" s="1"/>
  <c r="I251" i="19" s="1"/>
  <c r="O205" i="19"/>
  <c r="O48" i="19"/>
  <c r="G251" i="19"/>
  <c r="H251" i="19"/>
  <c r="J251" i="19"/>
  <c r="K251" i="19"/>
  <c r="F146" i="19"/>
  <c r="F251" i="19" s="1"/>
  <c r="N251" i="19"/>
  <c r="M251" i="19"/>
  <c r="E251" i="19"/>
  <c r="D251" i="19"/>
  <c r="O148" i="19"/>
  <c r="C146" i="19"/>
  <c r="C56" i="19"/>
  <c r="O14" i="19"/>
  <c r="C12" i="19"/>
  <c r="L115" i="19"/>
  <c r="O115" i="19" s="1"/>
  <c r="O123" i="19"/>
  <c r="L89" i="19"/>
  <c r="O89" i="19" s="1"/>
  <c r="O90" i="19"/>
  <c r="O57" i="19" l="1"/>
  <c r="O56" i="19"/>
  <c r="O146" i="19"/>
  <c r="O12" i="19"/>
  <c r="C251" i="19"/>
  <c r="L251" i="19"/>
  <c r="O251" i="19" l="1"/>
</calcChain>
</file>

<file path=xl/sharedStrings.xml><?xml version="1.0" encoding="utf-8"?>
<sst xmlns="http://schemas.openxmlformats.org/spreadsheetml/2006/main" count="702" uniqueCount="592">
  <si>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</si>
  <si>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</si>
  <si>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</si>
  <si>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</si>
  <si>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</si>
  <si>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</si>
  <si>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</si>
  <si>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</si>
  <si>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</si>
  <si>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</si>
  <si>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</si>
  <si>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</si>
  <si>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</si>
  <si>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</si>
  <si>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</si>
  <si>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</si>
  <si>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</si>
  <si>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</si>
  <si>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</si>
  <si>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</si>
  <si>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</si>
  <si>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</si>
  <si>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</si>
  <si>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</si>
  <si>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</si>
  <si>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</si>
  <si>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</si>
  <si>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</si>
  <si>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</si>
  <si>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</si>
  <si>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</si>
  <si>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</si>
  <si>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</si>
  <si>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</si>
  <si>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</si>
  <si>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</si>
  <si>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</si>
  <si>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</si>
  <si>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</si>
  <si>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</si>
  <si>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</si>
  <si>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</si>
  <si>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</si>
  <si>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</si>
  <si>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</si>
  <si>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</si>
  <si>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</si>
  <si>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</si>
  <si>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</si>
  <si>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</si>
  <si>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</si>
  <si>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</si>
  <si>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</si>
  <si>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</si>
  <si>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</si>
  <si>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</si>
  <si>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</si>
  <si>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</si>
  <si>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</si>
  <si>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</si>
  <si>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</si>
  <si>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</si>
  <si>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</si>
  <si>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</si>
  <si>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</si>
  <si>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</si>
  <si>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</si>
  <si>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</si>
  <si>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</si>
  <si>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</si>
  <si>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</si>
  <si>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</si>
  <si>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</si>
  <si>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</si>
  <si>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</si>
  <si>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</si>
  <si>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</si>
  <si>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</si>
  <si>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</si>
  <si>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</si>
  <si>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</si>
  <si>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</si>
  <si>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</si>
  <si>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</si>
  <si>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</si>
  <si>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</si>
  <si>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</si>
  <si>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</si>
  <si>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</si>
  <si>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</si>
  <si>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</si>
  <si>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</si>
  <si>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</si>
  <si>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</si>
  <si>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</si>
  <si>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</si>
  <si>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</si>
  <si>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</si>
  <si>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</si>
  <si>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</si>
  <si>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</si>
  <si>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</si>
  <si>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</si>
  <si>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</si>
  <si>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</si>
  <si>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</si>
  <si>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</si>
  <si>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</si>
  <si>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</si>
  <si>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</si>
  <si>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</si>
  <si>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</si>
  <si>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</si>
  <si>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</si>
  <si>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</si>
  <si>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</si>
  <si>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</si>
  <si>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</si>
  <si>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</si>
  <si>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</si>
  <si>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</si>
  <si>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</si>
  <si>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</si>
  <si>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</si>
  <si>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</si>
  <si>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</si>
  <si>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</si>
  <si>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</si>
  <si>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</si>
  <si>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</si>
  <si>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</si>
  <si>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</si>
  <si>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</si>
  <si>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</si>
  <si>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</si>
  <si>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</si>
  <si>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</si>
  <si>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</si>
  <si>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</si>
  <si>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</si>
  <si>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</si>
  <si>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</si>
  <si>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</si>
  <si>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</si>
  <si>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</si>
  <si>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</si>
  <si>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</si>
  <si>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</si>
  <si>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</si>
  <si>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</si>
  <si>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</si>
  <si>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</si>
  <si>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</si>
  <si>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</si>
  <si>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</si>
  <si>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</si>
  <si>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</si>
  <si>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</si>
  <si>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</si>
  <si>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</si>
  <si>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</si>
  <si>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</si>
  <si>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</si>
  <si>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</si>
  <si>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</si>
  <si>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</si>
  <si>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</si>
  <si>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</si>
  <si>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</si>
  <si>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</si>
  <si>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</si>
  <si>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</si>
  <si>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</si>
  <si>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</si>
  <si>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</si>
  <si>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</si>
  <si>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</si>
  <si>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</si>
  <si>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</si>
  <si>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</si>
  <si>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</si>
  <si>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</si>
  <si>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</si>
  <si>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</si>
  <si>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</si>
  <si>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</si>
  <si>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</si>
  <si>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</si>
  <si>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</si>
  <si>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</si>
  <si>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</si>
  <si>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</si>
  <si>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</si>
  <si>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</si>
  <si>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</si>
  <si>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</si>
  <si>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</si>
  <si>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</si>
  <si>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</si>
  <si>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</si>
  <si>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</si>
  <si>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</si>
  <si>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</si>
  <si>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</si>
  <si>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</si>
  <si>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</si>
  <si>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</si>
  <si>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</si>
  <si>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</si>
  <si>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</si>
  <si>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</si>
  <si>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</si>
  <si>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</si>
  <si>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</si>
  <si>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</si>
  <si>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</si>
  <si>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</si>
  <si>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</si>
  <si>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</si>
  <si>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</si>
  <si>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</si>
  <si>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</si>
  <si>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</si>
  <si>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</si>
  <si>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</si>
  <si>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</si>
  <si>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</si>
  <si>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</si>
  <si>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</si>
  <si>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</si>
  <si>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</si>
  <si>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</si>
  <si>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</si>
  <si>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</si>
  <si>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</si>
  <si>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</si>
  <si>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</si>
  <si>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</si>
  <si>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</si>
  <si>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</si>
  <si>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</si>
  <si>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</si>
  <si>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</si>
  <si>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</si>
  <si>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</si>
  <si>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</si>
  <si>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</si>
  <si>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</si>
  <si>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</si>
  <si>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</si>
  <si>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</si>
  <si>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</si>
  <si>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</si>
  <si>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</si>
  <si>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</si>
  <si>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</si>
  <si>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</si>
  <si>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</si>
  <si>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</si>
  <si>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</si>
  <si>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</si>
  <si>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</si>
  <si>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</si>
  <si>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</si>
  <si>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</si>
  <si>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</si>
  <si>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</si>
  <si>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</si>
  <si>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</si>
  <si>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</si>
  <si>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</si>
  <si>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</si>
  <si>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</si>
  <si>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</si>
  <si>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</si>
  <si>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</si>
  <si>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</si>
  <si>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</si>
  <si>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</si>
  <si>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</si>
  <si>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</si>
  <si>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</si>
  <si>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</si>
  <si>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</si>
  <si>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</si>
  <si>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</si>
  <si>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</si>
  <si>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</si>
  <si>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</si>
  <si>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</si>
  <si>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</si>
  <si>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</si>
  <si>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</si>
  <si>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</si>
  <si>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</si>
  <si>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</si>
  <si>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</si>
  <si>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</si>
  <si>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</si>
  <si>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</si>
  <si>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</si>
  <si>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</si>
  <si>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</si>
  <si>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</si>
  <si>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</si>
  <si>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</si>
  <si>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</si>
  <si>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</si>
  <si>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</si>
  <si>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</si>
  <si>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</si>
  <si>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</si>
  <si>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</si>
  <si>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</si>
  <si>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</si>
  <si>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</si>
  <si>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</si>
  <si>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</si>
  <si>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</si>
  <si>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</si>
  <si>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</si>
  <si>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</si>
  <si>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</si>
  <si>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</si>
  <si>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</si>
  <si>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</si>
  <si>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</si>
  <si>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</si>
  <si>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</si>
  <si>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</si>
  <si>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</si>
  <si>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</si>
  <si>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</si>
  <si>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</si>
  <si>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</si>
  <si>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</si>
  <si>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</si>
  <si>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</si>
  <si>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</si>
  <si>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</si>
  <si>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</si>
  <si>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</si>
  <si>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</si>
  <si>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</si>
  <si>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</si>
  <si>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</si>
  <si>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</si>
  <si>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</si>
  <si>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</si>
  <si>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</si>
  <si>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</si>
  <si>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</si>
  <si>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</si>
  <si>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</si>
  <si>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</si>
  <si>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</si>
  <si>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</si>
  <si>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</si>
  <si>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</si>
  <si>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</si>
  <si>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</si>
  <si>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</si>
  <si>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</si>
  <si>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</si>
  <si>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</si>
  <si>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</si>
  <si>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</si>
  <si>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</si>
  <si>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</si>
  <si>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</si>
  <si>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</si>
  <si>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</si>
  <si>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</si>
  <si>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</si>
  <si>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</si>
  <si>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</si>
  <si>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</si>
  <si>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</si>
  <si>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</si>
  <si>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</si>
  <si>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</si>
  <si>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</si>
  <si>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</si>
  <si>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</si>
  <si>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</si>
  <si>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</si>
  <si>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</si>
  <si>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</si>
  <si>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</si>
  <si>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</si>
  <si>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</si>
  <si>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</si>
  <si>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</si>
  <si>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</si>
  <si>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</si>
  <si>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</si>
  <si>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</si>
  <si>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</si>
  <si>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</si>
  <si>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</si>
  <si>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</si>
  <si>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</si>
  <si>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</si>
  <si>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</si>
  <si>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</si>
  <si>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</si>
  <si>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</si>
  <si>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</si>
  <si>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</si>
  <si>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</si>
  <si>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</si>
  <si>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</si>
  <si>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</si>
  <si>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</si>
  <si>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</si>
  <si>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</si>
  <si>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</si>
  <si>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</si>
  <si>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</si>
  <si>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</si>
  <si>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</si>
  <si>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</si>
  <si>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</si>
  <si>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</si>
  <si>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</si>
  <si>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</si>
  <si>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</si>
  <si>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</si>
  <si>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</si>
  <si>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</si>
  <si>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</si>
  <si>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</si>
  <si>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</si>
  <si>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</si>
  <si>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</si>
  <si>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</si>
  <si>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</si>
  <si>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</si>
  <si>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</si>
  <si>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</si>
  <si>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</si>
  <si>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</si>
  <si>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</si>
  <si>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</si>
  <si>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</si>
  <si>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</si>
  <si>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</si>
  <si>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</si>
  <si>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</si>
  <si>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</si>
  <si>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</si>
  <si>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</si>
  <si>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</si>
  <si>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</si>
  <si>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</si>
  <si>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</si>
  <si>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</si>
  <si>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</si>
  <si>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</si>
  <si>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</si>
  <si>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</si>
  <si>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</si>
  <si>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</si>
  <si>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</si>
  <si>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</si>
  <si>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</si>
  <si>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</si>
  <si>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</si>
  <si>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</si>
  <si>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</si>
  <si>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</si>
  <si>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</si>
  <si>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</si>
  <si>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</si>
  <si>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</si>
  <si>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</si>
  <si>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</si>
  <si>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</si>
  <si>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</si>
  <si>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</si>
  <si>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</si>
  <si>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</si>
  <si>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</si>
  <si>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</si>
  <si>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</si>
  <si>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</si>
  <si>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</si>
  <si>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</si>
  <si>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</si>
  <si>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</si>
  <si>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</si>
  <si>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</si>
  <si>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</si>
  <si>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</si>
  <si>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</si>
  <si>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</si>
  <si>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</si>
  <si>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</si>
  <si>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</si>
  <si>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</si>
  <si>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</si>
  <si>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</si>
  <si>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</si>
  <si>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</si>
  <si>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</si>
  <si>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</si>
  <si>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</si>
  <si>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</si>
  <si>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</si>
  <si>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</si>
  <si>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</si>
  <si>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</si>
  <si>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</si>
  <si>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</si>
  <si>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</si>
  <si>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</si>
  <si>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</si>
  <si>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</si>
  <si>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</si>
  <si>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</si>
  <si>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</si>
  <si>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</si>
  <si>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</si>
  <si>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</si>
  <si>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</si>
  <si>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</si>
  <si>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</si>
  <si>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</si>
  <si>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</si>
  <si>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</si>
  <si>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</si>
  <si>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</si>
  <si>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</si>
  <si>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</si>
  <si>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</si>
  <si>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</si>
  <si>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</si>
  <si>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</si>
  <si>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</si>
  <si>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</si>
  <si>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</si>
  <si>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</si>
  <si>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</si>
  <si>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</si>
  <si>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</si>
  <si>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</si>
  <si>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</si>
  <si>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</si>
  <si>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</si>
  <si>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</si>
  <si>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</si>
  <si>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</si>
  <si>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</si>
  <si>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</si>
  <si>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</si>
  <si>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</si>
  <si>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</si>
  <si>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</si>
  <si>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</si>
  <si>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</si>
  <si>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</si>
  <si>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</si>
  <si>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</si>
  <si>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</si>
  <si>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</si>
  <si>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</si>
  <si>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</si>
  <si>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</si>
  <si>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</si>
  <si>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</si>
  <si>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</si>
  <si>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</si>
  <si>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</si>
  <si>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</si>
  <si>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</si>
  <si>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</si>
  <si>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</si>
  <si>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</si>
  <si>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</si>
  <si>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</si>
  <si>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</si>
  <si>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</si>
  <si>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</si>
  <si>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</si>
  <si>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</si>
  <si>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</si>
  <si>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   (2024 m. gruodžio 19 d. sprendimo Nr. T2-</t>
  </si>
  <si>
    <t xml:space="preserve">                                                             (2024 m. gruodžio 19 d. sprendimo Nr. T2-</t>
  </si>
  <si>
    <t xml:space="preserve">                                        (2024 m. gruodžio 19 d. sprendimo Nr. T2-</t>
  </si>
  <si>
    <t>(2024 m. gruodžio 19 d. sprendimo Nr. T2-    redakcija)</t>
  </si>
  <si>
    <t>40.13.</t>
  </si>
  <si>
    <t>projektui "Ankstyvojo ugdymo užtikrinimas vaikams iš socialinę riziką patiriančių šeimų"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</si>
</sst>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workbookViewId="0">
      <selection activeCell="E15" sqref="E15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587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2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2337883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23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23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113">
        <f>911824+20460-90580-37588-1200</f>
        <v>802916</v>
      </c>
    </row>
    <row r="30" spans="1:3" ht="17.25" customHeight="1" x14ac:dyDescent="0.25">
      <c r="A30" s="21" t="s">
        <v>579</v>
      </c>
      <c r="B30" s="84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21241810</v>
      </c>
    </row>
    <row r="32" spans="1:3" ht="17.25" customHeight="1" x14ac:dyDescent="0.25">
      <c r="A32" s="21" t="s">
        <v>67</v>
      </c>
      <c r="B32" s="22" t="s">
        <v>232</v>
      </c>
      <c r="C32" s="113">
        <f>4213604-9600+143000+1700-39000-19200+2000+25500+5000+1301-36700</f>
        <v>4287605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3">
        <f>156564+1025738+267039+220153+583600+9814+13052+754727+32153</f>
        <v>3062840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23">
        <f>155351+53170-40001-20400-2775-3901-5000-31283-5000</f>
        <v>100161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23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55105751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H30"/>
  <sheetViews>
    <sheetView tabSelected="1" topLeftCell="A7" workbookViewId="0">
      <selection activeCell="L13" sqref="L13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588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55105751</v>
      </c>
    </row>
    <row r="12" spans="1:3" ht="16.5" customHeight="1" x14ac:dyDescent="0.25">
      <c r="A12" s="21" t="s">
        <v>210</v>
      </c>
      <c r="B12" s="69" t="s">
        <v>246</v>
      </c>
      <c r="C12" s="113">
        <f>7134949+30000+270000+621-785-270000+31999+3000+200+2045-31000+3680+16000+2800+1000+1400+10000+77141+33227-100+300-7900+37600+2000-1203-98+1301+4800</f>
        <v>7352977</v>
      </c>
    </row>
    <row r="13" spans="1:3" ht="16.5" customHeight="1" x14ac:dyDescent="0.25">
      <c r="A13" s="21" t="s">
        <v>212</v>
      </c>
      <c r="B13" s="69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23">
        <f>3155600+1816900+320000+135000+320600+754727+25500+4500</f>
        <v>6532827</v>
      </c>
    </row>
    <row r="16" spans="1:3" ht="16.5" customHeight="1" x14ac:dyDescent="0.25">
      <c r="A16" s="21" t="s">
        <v>217</v>
      </c>
      <c r="B16" s="69" t="s">
        <v>250</v>
      </c>
      <c r="C16" s="23">
        <f>2194414+10825+4775+163000+7900-4188-28000+13427+13052-20000+110000</f>
        <v>2465205</v>
      </c>
    </row>
    <row r="17" spans="1:8" ht="16.5" customHeight="1" x14ac:dyDescent="0.25">
      <c r="A17" s="21" t="s">
        <v>218</v>
      </c>
      <c r="B17" s="69" t="s">
        <v>251</v>
      </c>
      <c r="C17" s="23">
        <f>4084532+13000+1000-2830+2000+3000+8000+1725+15600+3000+8000+8000+12000+2300+3145-1000</f>
        <v>4161472</v>
      </c>
    </row>
    <row r="18" spans="1:8" ht="16.5" customHeight="1" x14ac:dyDescent="0.25">
      <c r="A18" s="21" t="s">
        <v>220</v>
      </c>
      <c r="B18" s="69" t="s">
        <v>252</v>
      </c>
      <c r="C18" s="113">
        <f>20545804+10559+40334+8640+20460+6749-7900+270000+418024+60310+220153+11000+80661-76400+170900+196000+4890+20000+310-60208-6800+1000+32153-1200+2500+4700+25000</f>
        <v>21997639</v>
      </c>
    </row>
    <row r="19" spans="1:8" ht="16.5" customHeight="1" x14ac:dyDescent="0.25">
      <c r="A19" s="21" t="s">
        <v>222</v>
      </c>
      <c r="B19" s="69" t="s">
        <v>269</v>
      </c>
      <c r="C19" s="113">
        <f>10107124+100000+445+53170+719+545+4444+6750+50000+27583-39216+2042+12690+240784+140000+13200+6300-2045-3770-90580+1700+24000-39000-19100+9814+3132+12253+2664+12800+14500-4500-8300+11000-30080-4902-4500-3145+5000-4800-36700-4440-150000+59240+63000</f>
        <v>10539821</v>
      </c>
    </row>
    <row r="20" spans="1:8" s="4" customFormat="1" ht="16.5" customHeight="1" x14ac:dyDescent="0.25">
      <c r="A20" s="18" t="s">
        <v>48</v>
      </c>
      <c r="B20" s="94" t="s">
        <v>490</v>
      </c>
      <c r="C20" s="20">
        <f>SUM(C21:C28)</f>
        <v>55105751</v>
      </c>
    </row>
    <row r="21" spans="1:8" ht="16.5" customHeight="1" x14ac:dyDescent="0.25">
      <c r="A21" s="21" t="s">
        <v>42</v>
      </c>
      <c r="B21" s="22" t="s">
        <v>491</v>
      </c>
      <c r="C21" s="23">
        <f>29236038+50000+650000-31000+211000+12000+33227-27+110000</f>
        <v>30271238</v>
      </c>
    </row>
    <row r="22" spans="1:8" ht="31.2" x14ac:dyDescent="0.25">
      <c r="A22" s="21" t="s">
        <v>43</v>
      </c>
      <c r="B22" s="22" t="s">
        <v>492</v>
      </c>
      <c r="C22" s="113">
        <f>4213604-9600+143000+1700-39000-19200+2000+25500+5000+1301-36700</f>
        <v>4287605</v>
      </c>
    </row>
    <row r="23" spans="1:8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8" ht="16.5" customHeight="1" x14ac:dyDescent="0.25">
      <c r="A24" s="21" t="s">
        <v>45</v>
      </c>
      <c r="B24" s="22" t="s">
        <v>494</v>
      </c>
      <c r="C24" s="113">
        <f>156564+1025738+267039+220153+583600+9814+13052+754727+32153</f>
        <v>3062840</v>
      </c>
    </row>
    <row r="25" spans="1:8" ht="16.5" customHeight="1" x14ac:dyDescent="0.25">
      <c r="A25" s="21" t="s">
        <v>46</v>
      </c>
      <c r="B25" s="22" t="s">
        <v>495</v>
      </c>
      <c r="C25" s="23">
        <f>808457+53170+719+545+4444+6750+8640+10825+4775+27583+6749-40001+2042+12690+163000+96950+13400+6300-28000+11000+80661+3132+12253+2664+13100-31283-5000</f>
        <v>1245565</v>
      </c>
    </row>
    <row r="26" spans="1:8" ht="32.25" customHeight="1" x14ac:dyDescent="0.25">
      <c r="A26" s="21" t="s">
        <v>47</v>
      </c>
      <c r="B26" s="22" t="s">
        <v>496</v>
      </c>
      <c r="C26" s="113">
        <f>2701170+20460+13000+1000+621+2000+60310-3770-90580+3000+8000-51308-1200</f>
        <v>2662703</v>
      </c>
      <c r="H26" s="119"/>
    </row>
    <row r="27" spans="1:8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8" ht="15.6" x14ac:dyDescent="0.25">
      <c r="A28" s="21" t="s">
        <v>63</v>
      </c>
      <c r="B28" s="22" t="s">
        <v>498</v>
      </c>
      <c r="C28" s="23">
        <f>1816900</f>
        <v>1816900</v>
      </c>
    </row>
    <row r="29" spans="1:8" ht="45.75" customHeight="1" x14ac:dyDescent="0.3">
      <c r="B29" s="16" t="s">
        <v>387</v>
      </c>
      <c r="C29" s="88"/>
    </row>
    <row r="30" spans="1:8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9"/>
  <sheetViews>
    <sheetView workbookViewId="0">
      <pane ySplit="10" topLeftCell="A11" activePane="bottomLeft" state="frozen"/>
      <selection pane="bottomLeft" activeCell="L259" sqref="L259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589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34" t="s">
        <v>20</v>
      </c>
      <c r="D9" s="134"/>
      <c r="E9" s="134"/>
      <c r="F9" s="134" t="s">
        <v>262</v>
      </c>
      <c r="G9" s="134"/>
      <c r="H9" s="134"/>
      <c r="I9" s="134" t="s">
        <v>306</v>
      </c>
      <c r="J9" s="134"/>
      <c r="K9" s="134"/>
      <c r="L9" s="134" t="s">
        <v>263</v>
      </c>
      <c r="M9" s="134"/>
      <c r="N9" s="134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24" t="s">
        <v>199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557008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6239313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557008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5604613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6">
        <f>520454-2000-600-4600+3000-100+2000+4726+74+1301</f>
        <v>524255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524255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24" t="s">
        <v>200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24" t="s">
        <v>201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31" t="s">
        <v>264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2656500</v>
      </c>
      <c r="D56" s="38">
        <f t="shared" si="12"/>
        <v>28345</v>
      </c>
      <c r="E56" s="38">
        <f t="shared" si="12"/>
        <v>0</v>
      </c>
      <c r="F56" s="38">
        <f t="shared" si="12"/>
        <v>1604427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6077827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2583500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5155127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115">
        <f>75000+21660</f>
        <v>96660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96660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574</v>
      </c>
      <c r="C62" s="114">
        <f>480000+142000+55240</f>
        <v>677240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677240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114">
        <f>100000-100000</f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115">
        <f>40000+10000+23100</f>
        <v>73100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73100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 t="s">
        <v>585</v>
      </c>
      <c r="B86" s="60" t="s">
        <v>583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  <c r="Q87" s="17"/>
    </row>
    <row r="88" spans="1:21" s="1" customFormat="1" ht="31.5" customHeight="1" x14ac:dyDescent="0.3">
      <c r="A88" s="46"/>
      <c r="B88" s="127" t="s">
        <v>573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1638164</v>
      </c>
      <c r="M89" s="38">
        <f t="shared" si="17"/>
        <v>0</v>
      </c>
      <c r="N89" s="38">
        <f t="shared" si="17"/>
        <v>0</v>
      </c>
      <c r="O89" s="38">
        <f>C89+F89+I89+L89</f>
        <v>2465205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37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73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37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>
        <f>794976+425024+110000</f>
        <v>1330000</v>
      </c>
      <c r="M105" s="37"/>
      <c r="N105" s="37"/>
      <c r="O105" s="27">
        <f>C105+F105+I105+L105</f>
        <v>1330000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582</v>
      </c>
      <c r="B107" s="45" t="s">
        <v>584</v>
      </c>
      <c r="C107" s="37"/>
      <c r="D107" s="37"/>
      <c r="E107" s="37"/>
      <c r="F107" s="37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27" t="s">
        <v>266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3987736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4161472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268825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286971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37">
        <f>30000-1000</f>
        <v>29000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47146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28" t="s">
        <v>203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SUM(C147:C148,C151,C154:C156,C159:C159,C162,C165,C168,C171:C171,C174,C177,C180:C182,C183,C197)</f>
        <v>9378380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SUM(F147:F148,F151,F154:F156,F159:F159,F162,F165,F168,F171:F171,F174,F177,F180:F182,F183,F197)</f>
        <v>975207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SUM(K147:K148,K151,K154:K156,K159:K159,K162,K165,K168,K171:K171,K174,K177,K180:K182,K183,K197)</f>
        <v>0</v>
      </c>
      <c r="L146" s="38">
        <f>SUM(L147:L148,L151,L154:L156,L159:L159,L162,L165,L168,L171:L171,L174,L177,L180:L182,L183,L197)</f>
        <v>545152</v>
      </c>
      <c r="M146" s="38">
        <f>SUM(M147:M148,M151,M154:M156,M159:M159,M162,M165,M168,M171:M171,M174,M177,M180:M182,M183,M197)</f>
        <v>24670</v>
      </c>
      <c r="N146" s="38">
        <f>SUM(N147:N148,N151,N154:N156,N159:N159,N162,N165,N168,N171:N171,N174,N177,N180:N182,N183,N197)</f>
        <v>0</v>
      </c>
      <c r="O146" s="27">
        <f>C146+F146+I146+L146</f>
        <v>21727639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117">
        <f>470000+1368+58438+1000+2500</f>
        <v>533306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38">
        <f>4030+150+22490-12140</f>
        <v>14530</v>
      </c>
      <c r="M147" s="38"/>
      <c r="N147" s="38"/>
      <c r="O147" s="27">
        <f t="shared" ref="O147:O202" si="29">C147+F147+I147+L147</f>
        <v>2088479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117">
        <f>L149+L150+1200-1200</f>
        <v>19320</v>
      </c>
      <c r="M148" s="38">
        <f>M149+M150</f>
        <v>0</v>
      </c>
      <c r="N148" s="38">
        <f>N149+N150</f>
        <v>0</v>
      </c>
      <c r="O148" s="27">
        <f>C148+F148+I148+L148</f>
        <v>1481959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562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38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38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561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563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564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565</v>
      </c>
      <c r="C162" s="117">
        <f>C163+C164+4700</f>
        <v>481351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38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1347351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566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567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38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568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569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38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570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38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38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SUM(C184:E196)</f>
        <v>727200</v>
      </c>
      <c r="D183" s="38">
        <f t="shared" ref="D183:N183" si="40">SUM(D184:D194)</f>
        <v>0</v>
      </c>
      <c r="E183" s="38">
        <f t="shared" si="40"/>
        <v>0</v>
      </c>
      <c r="F183" s="38">
        <f>SUM(F184:F196)</f>
        <v>689987</v>
      </c>
      <c r="G183" s="38">
        <f>SUM(G184:I195)</f>
        <v>0</v>
      </c>
      <c r="H183" s="38">
        <f>SUM(H184:J195)</f>
        <v>195370</v>
      </c>
      <c r="I183" s="38">
        <f>SUM(I184:I196)</f>
        <v>0</v>
      </c>
      <c r="J183" s="38">
        <f t="shared" si="40"/>
        <v>195370</v>
      </c>
      <c r="K183" s="38">
        <f t="shared" si="40"/>
        <v>0</v>
      </c>
      <c r="L183" s="38">
        <f>SUM(L184:L196)</f>
        <v>0</v>
      </c>
      <c r="M183" s="38">
        <f t="shared" si="40"/>
        <v>0</v>
      </c>
      <c r="N183" s="38">
        <f t="shared" si="40"/>
        <v>0</v>
      </c>
      <c r="O183" s="27">
        <f>C183+F183+I183+L183</f>
        <v>1417187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115">
        <f>380000+166000+25000</f>
        <v>571000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571000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4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37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>C195+F195+I195+L195</f>
        <v>0</v>
      </c>
      <c r="P195" s="59"/>
      <c r="Q195" s="59"/>
    </row>
    <row r="196" spans="1:17" s="10" customFormat="1" ht="31.5" customHeight="1" x14ac:dyDescent="0.3">
      <c r="A196" s="49" t="s">
        <v>590</v>
      </c>
      <c r="B196" s="120" t="s">
        <v>591</v>
      </c>
      <c r="C196" s="37"/>
      <c r="D196" s="37"/>
      <c r="E196" s="37"/>
      <c r="F196" s="117">
        <v>32153</v>
      </c>
      <c r="G196" s="37"/>
      <c r="H196" s="37"/>
      <c r="I196" s="38"/>
      <c r="J196" s="37"/>
      <c r="K196" s="37"/>
      <c r="L196" s="38"/>
      <c r="M196" s="37"/>
      <c r="N196" s="37"/>
      <c r="O196" s="27">
        <f>C196+F196+I196+L196</f>
        <v>32153</v>
      </c>
      <c r="P196" s="59"/>
      <c r="Q196" s="59"/>
    </row>
    <row r="197" spans="1:17" s="9" customFormat="1" ht="15.75" customHeight="1" x14ac:dyDescent="0.25">
      <c r="A197" s="27" t="s">
        <v>145</v>
      </c>
      <c r="B197" s="42" t="s">
        <v>23</v>
      </c>
      <c r="C197" s="27">
        <f>C198+C199+C200+C201+C202+C203</f>
        <v>280000</v>
      </c>
      <c r="D197" s="27">
        <f t="shared" ref="D197:O197" si="42">D198+D199+D200+D201+D202+D203</f>
        <v>0</v>
      </c>
      <c r="E197" s="27">
        <f t="shared" si="42"/>
        <v>0</v>
      </c>
      <c r="F197" s="27">
        <f t="shared" si="42"/>
        <v>0</v>
      </c>
      <c r="G197" s="27">
        <f t="shared" si="42"/>
        <v>0</v>
      </c>
      <c r="H197" s="27">
        <f t="shared" si="42"/>
        <v>0</v>
      </c>
      <c r="I197" s="27">
        <f t="shared" si="42"/>
        <v>0</v>
      </c>
      <c r="J197" s="27">
        <f t="shared" si="42"/>
        <v>0</v>
      </c>
      <c r="K197" s="27">
        <f t="shared" si="42"/>
        <v>0</v>
      </c>
      <c r="L197" s="27">
        <f t="shared" si="42"/>
        <v>0</v>
      </c>
      <c r="M197" s="27">
        <f t="shared" si="42"/>
        <v>0</v>
      </c>
      <c r="N197" s="27">
        <f t="shared" si="42"/>
        <v>0</v>
      </c>
      <c r="O197" s="27">
        <f t="shared" si="42"/>
        <v>280000</v>
      </c>
      <c r="P197" s="58"/>
      <c r="Q197" s="58"/>
    </row>
    <row r="198" spans="1:17" s="10" customFormat="1" ht="29.25" customHeight="1" x14ac:dyDescent="0.3">
      <c r="A198" s="49" t="s">
        <v>294</v>
      </c>
      <c r="B198" s="33" t="s">
        <v>462</v>
      </c>
      <c r="C198" s="37">
        <v>220000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220000</v>
      </c>
      <c r="P198" s="59"/>
      <c r="Q198" s="59"/>
    </row>
    <row r="199" spans="1:17" s="10" customFormat="1" ht="16.5" customHeight="1" x14ac:dyDescent="0.3">
      <c r="A199" s="49" t="s">
        <v>295</v>
      </c>
      <c r="B199" s="33" t="s">
        <v>463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296</v>
      </c>
      <c r="B200" s="33" t="s">
        <v>464</v>
      </c>
      <c r="C200" s="37">
        <v>20000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20000</v>
      </c>
      <c r="P200" s="59"/>
      <c r="Q200" s="59"/>
    </row>
    <row r="201" spans="1:17" s="10" customFormat="1" ht="15.75" customHeight="1" x14ac:dyDescent="0.3">
      <c r="A201" s="49" t="s">
        <v>465</v>
      </c>
      <c r="B201" s="33" t="s">
        <v>466</v>
      </c>
      <c r="C201" s="37">
        <v>10000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467</v>
      </c>
      <c r="B202" s="33" t="s">
        <v>468</v>
      </c>
      <c r="C202" s="37">
        <v>10000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 t="shared" si="29"/>
        <v>10000</v>
      </c>
      <c r="P202" s="59"/>
      <c r="Q202" s="59"/>
    </row>
    <row r="203" spans="1:17" s="10" customFormat="1" ht="15.75" customHeight="1" x14ac:dyDescent="0.3">
      <c r="A203" s="49" t="s">
        <v>469</v>
      </c>
      <c r="B203" s="33" t="s">
        <v>470</v>
      </c>
      <c r="C203" s="37">
        <f>400000-132713-267287</f>
        <v>0</v>
      </c>
      <c r="D203" s="37"/>
      <c r="E203" s="37"/>
      <c r="F203" s="38"/>
      <c r="G203" s="37"/>
      <c r="H203" s="37"/>
      <c r="I203" s="38"/>
      <c r="J203" s="38"/>
      <c r="K203" s="37"/>
      <c r="L203" s="38"/>
      <c r="M203" s="37"/>
      <c r="N203" s="37"/>
      <c r="O203" s="27">
        <f>C203+F203+I203+L203</f>
        <v>0</v>
      </c>
      <c r="P203" s="59"/>
      <c r="Q203" s="59"/>
    </row>
    <row r="204" spans="1:17" s="1" customFormat="1" ht="32.25" customHeight="1" x14ac:dyDescent="0.3">
      <c r="A204" s="46"/>
      <c r="B204" s="127" t="s">
        <v>202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7"/>
      <c r="Q204" s="17"/>
    </row>
    <row r="205" spans="1:17" s="7" customFormat="1" ht="15.75" customHeight="1" x14ac:dyDescent="0.25">
      <c r="A205" s="29"/>
      <c r="B205" s="42" t="s">
        <v>27</v>
      </c>
      <c r="C205" s="38">
        <f t="shared" ref="C205:N205" si="43">C206+C250+C249</f>
        <v>7115905</v>
      </c>
      <c r="D205" s="38">
        <f t="shared" si="43"/>
        <v>2119560</v>
      </c>
      <c r="E205" s="38">
        <f t="shared" si="43"/>
        <v>0</v>
      </c>
      <c r="F205" s="38">
        <f>F206+F250+F249</f>
        <v>2980592</v>
      </c>
      <c r="G205" s="38">
        <f t="shared" si="43"/>
        <v>534560</v>
      </c>
      <c r="H205" s="38">
        <f t="shared" si="43"/>
        <v>0</v>
      </c>
      <c r="I205" s="38">
        <f>I206+I250+I249</f>
        <v>0</v>
      </c>
      <c r="J205" s="38">
        <f t="shared" si="43"/>
        <v>0</v>
      </c>
      <c r="K205" s="38">
        <f t="shared" si="43"/>
        <v>0</v>
      </c>
      <c r="L205" s="38">
        <f t="shared" si="43"/>
        <v>343324</v>
      </c>
      <c r="M205" s="38">
        <f t="shared" si="43"/>
        <v>326293</v>
      </c>
      <c r="N205" s="38">
        <f t="shared" si="43"/>
        <v>0</v>
      </c>
      <c r="O205" s="38">
        <f>C205+F205+I205+L205</f>
        <v>10439821</v>
      </c>
      <c r="P205" s="58"/>
      <c r="Q205" s="58"/>
    </row>
    <row r="206" spans="1:17" s="2" customFormat="1" ht="15.75" customHeight="1" x14ac:dyDescent="0.3">
      <c r="A206" s="27" t="s">
        <v>146</v>
      </c>
      <c r="B206" s="42" t="s">
        <v>34</v>
      </c>
      <c r="C206" s="27">
        <f>SUM(C207:C248)</f>
        <v>6536918</v>
      </c>
      <c r="D206" s="27">
        <f t="shared" ref="D206:E206" si="44">SUM(D207:D247)</f>
        <v>1757060</v>
      </c>
      <c r="E206" s="27">
        <f t="shared" si="44"/>
        <v>0</v>
      </c>
      <c r="F206" s="27">
        <f>SUM(F207:F248)</f>
        <v>2944603</v>
      </c>
      <c r="G206" s="27">
        <f t="shared" ref="G206:L206" si="45">SUM(G207:G247)</f>
        <v>504000</v>
      </c>
      <c r="H206" s="27">
        <f t="shared" si="45"/>
        <v>0</v>
      </c>
      <c r="I206" s="27">
        <f t="shared" si="45"/>
        <v>0</v>
      </c>
      <c r="J206" s="27">
        <f t="shared" si="45"/>
        <v>0</v>
      </c>
      <c r="K206" s="27">
        <f t="shared" si="45"/>
        <v>0</v>
      </c>
      <c r="L206" s="27">
        <f t="shared" si="45"/>
        <v>0</v>
      </c>
      <c r="M206" s="27">
        <f>SUM(M207:M243)</f>
        <v>0</v>
      </c>
      <c r="N206" s="27">
        <f>SUM(N207:N243)</f>
        <v>0</v>
      </c>
      <c r="O206" s="27">
        <f>SUM(O207:O248)</f>
        <v>9481521</v>
      </c>
      <c r="P206" s="17"/>
      <c r="Q206" s="17"/>
    </row>
    <row r="207" spans="1:17" s="10" customFormat="1" ht="15.75" customHeight="1" x14ac:dyDescent="0.3">
      <c r="A207" s="49" t="s">
        <v>297</v>
      </c>
      <c r="B207" s="33" t="s">
        <v>14</v>
      </c>
      <c r="C207" s="115">
        <f>1660000+63000</f>
        <v>1723000</v>
      </c>
      <c r="D207" s="37"/>
      <c r="E207" s="37"/>
      <c r="F207" s="37">
        <f>11421+13593+12188</f>
        <v>37202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1760202</v>
      </c>
      <c r="P207" s="59"/>
      <c r="Q207" s="59"/>
    </row>
    <row r="208" spans="1:17" s="10" customFormat="1" ht="15.75" customHeight="1" x14ac:dyDescent="0.3">
      <c r="A208" s="49" t="s">
        <v>298</v>
      </c>
      <c r="B208" s="33" t="s">
        <v>321</v>
      </c>
      <c r="C208" s="37">
        <v>144000</v>
      </c>
      <c r="D208" s="37"/>
      <c r="E208" s="37"/>
      <c r="F208" s="37">
        <f>100</f>
        <v>100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144100</v>
      </c>
      <c r="P208" s="59"/>
      <c r="Q208" s="59"/>
    </row>
    <row r="209" spans="1:17" s="10" customFormat="1" ht="15.75" customHeight="1" x14ac:dyDescent="0.3">
      <c r="A209" s="49" t="s">
        <v>299</v>
      </c>
      <c r="B209" s="33" t="s">
        <v>32</v>
      </c>
      <c r="C209" s="115">
        <f>1030000-150000</f>
        <v>880000</v>
      </c>
      <c r="D209" s="37"/>
      <c r="E209" s="37"/>
      <c r="F209" s="37">
        <f>1269+257+141+65</f>
        <v>1732</v>
      </c>
      <c r="G209" s="37"/>
      <c r="H209" s="37"/>
      <c r="I209" s="37"/>
      <c r="J209" s="37"/>
      <c r="K209" s="37"/>
      <c r="L209" s="37"/>
      <c r="M209" s="37"/>
      <c r="N209" s="37"/>
      <c r="O209" s="27">
        <f>C209+F209+I209+L209</f>
        <v>881732</v>
      </c>
      <c r="P209" s="59"/>
      <c r="Q209" s="59"/>
    </row>
    <row r="210" spans="1:17" s="10" customFormat="1" ht="15.75" customHeight="1" x14ac:dyDescent="0.3">
      <c r="A210" s="49" t="s">
        <v>300</v>
      </c>
      <c r="B210" s="33" t="s">
        <v>164</v>
      </c>
      <c r="C210" s="37"/>
      <c r="D210" s="37"/>
      <c r="E210" s="37"/>
      <c r="F210" s="37">
        <f>214700-4400-19100</f>
        <v>191200</v>
      </c>
      <c r="G210" s="37"/>
      <c r="H210" s="37"/>
      <c r="I210" s="37"/>
      <c r="J210" s="37"/>
      <c r="K210" s="37"/>
      <c r="L210" s="37"/>
      <c r="M210" s="37"/>
      <c r="N210" s="37"/>
      <c r="O210" s="27">
        <f t="shared" ref="O210:O249" si="46">C210+F210+I210+L210</f>
        <v>191200</v>
      </c>
      <c r="P210" s="59"/>
      <c r="Q210" s="59"/>
    </row>
    <row r="211" spans="1:17" s="10" customFormat="1" ht="15.75" customHeight="1" x14ac:dyDescent="0.3">
      <c r="A211" s="49" t="s">
        <v>301</v>
      </c>
      <c r="B211" s="45" t="s">
        <v>268</v>
      </c>
      <c r="C211" s="37">
        <v>8000</v>
      </c>
      <c r="D211" s="45"/>
      <c r="E211" s="37"/>
      <c r="F211" s="37">
        <v>157500</v>
      </c>
      <c r="G211" s="37"/>
      <c r="H211" s="37"/>
      <c r="I211" s="45"/>
      <c r="J211" s="45"/>
      <c r="K211" s="45"/>
      <c r="L211" s="45"/>
      <c r="M211" s="45"/>
      <c r="N211" s="45"/>
      <c r="O211" s="27">
        <f>C211+F211+I211+L211</f>
        <v>165500</v>
      </c>
      <c r="P211" s="59"/>
      <c r="Q211" s="59"/>
    </row>
    <row r="212" spans="1:17" s="10" customFormat="1" ht="15.75" customHeight="1" x14ac:dyDescent="0.3">
      <c r="A212" s="49" t="s">
        <v>302</v>
      </c>
      <c r="B212" s="33" t="s">
        <v>162</v>
      </c>
      <c r="C212" s="37"/>
      <c r="D212" s="37"/>
      <c r="E212" s="37"/>
      <c r="F212" s="115">
        <f>98000-3510</f>
        <v>94490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94490</v>
      </c>
      <c r="P212" s="59"/>
      <c r="Q212" s="59"/>
    </row>
    <row r="213" spans="1:17" s="10" customFormat="1" ht="15.75" customHeight="1" x14ac:dyDescent="0.3">
      <c r="A213" s="49" t="s">
        <v>303</v>
      </c>
      <c r="B213" s="33" t="s">
        <v>33</v>
      </c>
      <c r="C213" s="37"/>
      <c r="D213" s="37"/>
      <c r="E213" s="37"/>
      <c r="F213" s="115">
        <f>382800+2042+2138+2664+8510</f>
        <v>398154</v>
      </c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398154</v>
      </c>
      <c r="P213" s="59"/>
      <c r="Q213" s="59"/>
    </row>
    <row r="214" spans="1:17" s="10" customFormat="1" ht="15.75" customHeight="1" x14ac:dyDescent="0.3">
      <c r="A214" s="49" t="s">
        <v>322</v>
      </c>
      <c r="B214" s="33" t="s">
        <v>163</v>
      </c>
      <c r="C214" s="37">
        <f>46000-2570</f>
        <v>43430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43430</v>
      </c>
      <c r="P214" s="59"/>
      <c r="Q214" s="59"/>
    </row>
    <row r="215" spans="1:17" s="10" customFormat="1" ht="15.75" customHeight="1" x14ac:dyDescent="0.3">
      <c r="A215" s="49" t="s">
        <v>323</v>
      </c>
      <c r="B215" s="33" t="s">
        <v>182</v>
      </c>
      <c r="C215" s="37"/>
      <c r="D215" s="37"/>
      <c r="E215" s="37"/>
      <c r="F215" s="115">
        <f>946200+140000-4800</f>
        <v>1081400</v>
      </c>
      <c r="G215" s="37"/>
      <c r="H215" s="37"/>
      <c r="I215" s="37"/>
      <c r="J215" s="37"/>
      <c r="K215" s="37"/>
      <c r="L215" s="37"/>
      <c r="M215" s="37"/>
      <c r="N215" s="37"/>
      <c r="O215" s="27">
        <f t="shared" si="46"/>
        <v>1081400</v>
      </c>
      <c r="P215" s="59"/>
      <c r="Q215" s="59"/>
    </row>
    <row r="216" spans="1:17" s="8" customFormat="1" ht="45" customHeight="1" x14ac:dyDescent="0.25">
      <c r="A216" s="49" t="s">
        <v>324</v>
      </c>
      <c r="B216" s="65" t="s">
        <v>426</v>
      </c>
      <c r="C216" s="29"/>
      <c r="D216" s="29"/>
      <c r="E216" s="29"/>
      <c r="F216" s="114">
        <f>418000-36700</f>
        <v>381300</v>
      </c>
      <c r="G216" s="29">
        <v>405000</v>
      </c>
      <c r="H216" s="29"/>
      <c r="I216" s="29"/>
      <c r="J216" s="29"/>
      <c r="K216" s="29"/>
      <c r="L216" s="29"/>
      <c r="M216" s="29"/>
      <c r="N216" s="29"/>
      <c r="O216" s="27">
        <f t="shared" si="46"/>
        <v>381300</v>
      </c>
      <c r="P216" s="57"/>
      <c r="Q216" s="57"/>
    </row>
    <row r="217" spans="1:17" s="8" customFormat="1" ht="28.5" customHeight="1" x14ac:dyDescent="0.25">
      <c r="A217" s="49" t="s">
        <v>325</v>
      </c>
      <c r="B217" s="65" t="s">
        <v>427</v>
      </c>
      <c r="C217" s="29"/>
      <c r="D217" s="29"/>
      <c r="E217" s="29"/>
      <c r="F217" s="29">
        <f>103500-39000</f>
        <v>64500</v>
      </c>
      <c r="G217" s="29">
        <v>99000</v>
      </c>
      <c r="H217" s="29"/>
      <c r="I217" s="29"/>
      <c r="J217" s="29"/>
      <c r="K217" s="29"/>
      <c r="L217" s="29"/>
      <c r="M217" s="29"/>
      <c r="N217" s="29"/>
      <c r="O217" s="27">
        <f t="shared" si="46"/>
        <v>64500</v>
      </c>
      <c r="P217" s="57"/>
      <c r="Q217" s="57"/>
    </row>
    <row r="218" spans="1:17" s="4" customFormat="1" ht="28.5" customHeight="1" x14ac:dyDescent="0.25">
      <c r="A218" s="49" t="s">
        <v>326</v>
      </c>
      <c r="B218" s="33" t="s">
        <v>571</v>
      </c>
      <c r="C218" s="29">
        <v>170000</v>
      </c>
      <c r="D218" s="29"/>
      <c r="E218" s="29"/>
      <c r="F218" s="29">
        <f>227700+13200+12800</f>
        <v>253700</v>
      </c>
      <c r="G218" s="29"/>
      <c r="H218" s="29"/>
      <c r="I218" s="29"/>
      <c r="J218" s="29"/>
      <c r="K218" s="29"/>
      <c r="L218" s="29"/>
      <c r="M218" s="29"/>
      <c r="N218" s="29"/>
      <c r="O218" s="27">
        <f t="shared" si="46"/>
        <v>423700</v>
      </c>
      <c r="P218" s="58"/>
      <c r="Q218" s="57"/>
    </row>
    <row r="219" spans="1:17" s="8" customFormat="1" ht="15.75" customHeight="1" x14ac:dyDescent="0.25">
      <c r="A219" s="49" t="s">
        <v>327</v>
      </c>
      <c r="B219" s="65" t="s">
        <v>471</v>
      </c>
      <c r="C219" s="29"/>
      <c r="D219" s="29"/>
      <c r="E219" s="29"/>
      <c r="F219" s="29">
        <v>12500</v>
      </c>
      <c r="G219" s="29"/>
      <c r="H219" s="29"/>
      <c r="I219" s="29"/>
      <c r="J219" s="29"/>
      <c r="K219" s="29"/>
      <c r="L219" s="29"/>
      <c r="M219" s="29"/>
      <c r="N219" s="29"/>
      <c r="O219" s="27">
        <f>C219+F219+I219+L219</f>
        <v>12500</v>
      </c>
      <c r="P219" s="57"/>
      <c r="Q219" s="57"/>
    </row>
    <row r="220" spans="1:17" s="8" customFormat="1" ht="15.75" customHeight="1" x14ac:dyDescent="0.25">
      <c r="A220" s="49" t="s">
        <v>374</v>
      </c>
      <c r="B220" s="65" t="s">
        <v>373</v>
      </c>
      <c r="C220" s="29"/>
      <c r="D220" s="29"/>
      <c r="E220" s="29"/>
      <c r="F220" s="29">
        <f>99686-39216-20000-4902</f>
        <v>35568</v>
      </c>
      <c r="G220" s="29"/>
      <c r="H220" s="29"/>
      <c r="I220" s="29"/>
      <c r="J220" s="29"/>
      <c r="K220" s="29"/>
      <c r="L220" s="29"/>
      <c r="M220" s="29"/>
      <c r="N220" s="29"/>
      <c r="O220" s="27">
        <f t="shared" si="46"/>
        <v>35568</v>
      </c>
      <c r="P220" s="57"/>
      <c r="Q220" s="57"/>
    </row>
    <row r="221" spans="1:17" s="10" customFormat="1" ht="15.75" customHeight="1" x14ac:dyDescent="0.3">
      <c r="A221" s="49" t="s">
        <v>472</v>
      </c>
      <c r="B221" s="33" t="s">
        <v>428</v>
      </c>
      <c r="C221" s="37">
        <v>14000</v>
      </c>
      <c r="D221" s="37"/>
      <c r="E221" s="37"/>
      <c r="F221" s="37">
        <f>28400-2694</f>
        <v>25706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39706</v>
      </c>
      <c r="P221" s="59"/>
      <c r="Q221" s="59"/>
    </row>
    <row r="222" spans="1:17" s="10" customFormat="1" ht="15.75" customHeight="1" x14ac:dyDescent="0.3">
      <c r="A222" s="49" t="s">
        <v>473</v>
      </c>
      <c r="B222" s="33" t="s">
        <v>474</v>
      </c>
      <c r="C222" s="115">
        <f>23000+8582-8300-4500-3145-4440</f>
        <v>11197</v>
      </c>
      <c r="D222" s="37"/>
      <c r="E222" s="37"/>
      <c r="F222" s="37">
        <f>51125-3751-30080</f>
        <v>17294</v>
      </c>
      <c r="G222" s="37"/>
      <c r="H222" s="37"/>
      <c r="I222" s="38"/>
      <c r="J222" s="38"/>
      <c r="K222" s="37"/>
      <c r="L222" s="38"/>
      <c r="M222" s="37"/>
      <c r="N222" s="37"/>
      <c r="O222" s="27">
        <f t="shared" si="46"/>
        <v>28491</v>
      </c>
      <c r="P222" s="59"/>
      <c r="Q222" s="59"/>
    </row>
    <row r="223" spans="1:17" s="10" customFormat="1" ht="30" customHeight="1" x14ac:dyDescent="0.3">
      <c r="A223" s="49" t="s">
        <v>328</v>
      </c>
      <c r="B223" s="33" t="s">
        <v>475</v>
      </c>
      <c r="C223" s="37"/>
      <c r="D223" s="37"/>
      <c r="E223" s="37"/>
      <c r="F223" s="37">
        <f>6626+719</f>
        <v>7345</v>
      </c>
      <c r="G223" s="37"/>
      <c r="H223" s="37"/>
      <c r="I223" s="38"/>
      <c r="J223" s="38"/>
      <c r="K223" s="37"/>
      <c r="L223" s="38"/>
      <c r="M223" s="37"/>
      <c r="N223" s="37"/>
      <c r="O223" s="27">
        <f>C223+F223+I223+L223</f>
        <v>7345</v>
      </c>
      <c r="P223" s="59"/>
      <c r="Q223" s="59"/>
    </row>
    <row r="224" spans="1:17" s="10" customFormat="1" ht="28.5" customHeight="1" x14ac:dyDescent="0.3">
      <c r="A224" s="49" t="s">
        <v>329</v>
      </c>
      <c r="B224" s="33" t="s">
        <v>388</v>
      </c>
      <c r="C224" s="115">
        <f>795000+166300+20000+39240</f>
        <v>1020540</v>
      </c>
      <c r="D224" s="37"/>
      <c r="E224" s="37"/>
      <c r="F224" s="37">
        <f>6300</f>
        <v>6300</v>
      </c>
      <c r="G224" s="37"/>
      <c r="H224" s="37"/>
      <c r="I224" s="38"/>
      <c r="J224" s="38"/>
      <c r="K224" s="37"/>
      <c r="L224" s="38"/>
      <c r="M224" s="37"/>
      <c r="N224" s="37"/>
      <c r="O224" s="27">
        <f t="shared" si="46"/>
        <v>1026840</v>
      </c>
      <c r="P224" s="59"/>
      <c r="Q224" s="59"/>
    </row>
    <row r="225" spans="1:17" s="10" customFormat="1" ht="28.5" customHeight="1" x14ac:dyDescent="0.3">
      <c r="A225" s="49" t="s">
        <v>330</v>
      </c>
      <c r="B225" s="33" t="s">
        <v>476</v>
      </c>
      <c r="C225" s="37">
        <f>24000-4500</f>
        <v>19500</v>
      </c>
      <c r="D225" s="37"/>
      <c r="E225" s="37"/>
      <c r="F225" s="37"/>
      <c r="G225" s="37"/>
      <c r="H225" s="37"/>
      <c r="I225" s="37"/>
      <c r="J225" s="37"/>
      <c r="K225" s="37"/>
      <c r="L225" s="38"/>
      <c r="M225" s="37"/>
      <c r="N225" s="37"/>
      <c r="O225" s="27">
        <f t="shared" si="46"/>
        <v>19500</v>
      </c>
      <c r="P225" s="59"/>
      <c r="Q225" s="59"/>
    </row>
    <row r="226" spans="1:17" s="4" customFormat="1" ht="15.75" customHeight="1" x14ac:dyDescent="0.25">
      <c r="A226" s="49" t="s">
        <v>331</v>
      </c>
      <c r="B226" s="33" t="s">
        <v>477</v>
      </c>
      <c r="C226" s="29">
        <f>353500-73600+11000</f>
        <v>290900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290900</v>
      </c>
      <c r="P226" s="58"/>
      <c r="Q226" s="57"/>
    </row>
    <row r="227" spans="1:17" s="4" customFormat="1" ht="45.75" customHeight="1" x14ac:dyDescent="0.25">
      <c r="A227" s="49" t="s">
        <v>332</v>
      </c>
      <c r="B227" s="33" t="s">
        <v>516</v>
      </c>
      <c r="C227" s="29">
        <f>25000+10000+3800+2900</f>
        <v>41700</v>
      </c>
      <c r="D227" s="31"/>
      <c r="E227" s="29"/>
      <c r="F227" s="29">
        <f>27583+10797+3132</f>
        <v>41512</v>
      </c>
      <c r="G227" s="31"/>
      <c r="H227" s="31"/>
      <c r="I227" s="31"/>
      <c r="J227" s="31"/>
      <c r="K227" s="31"/>
      <c r="L227" s="31"/>
      <c r="M227" s="31"/>
      <c r="N227" s="31"/>
      <c r="O227" s="27">
        <f t="shared" si="46"/>
        <v>83212</v>
      </c>
      <c r="P227" s="58"/>
      <c r="Q227" s="57"/>
    </row>
    <row r="228" spans="1:17" s="10" customFormat="1" ht="15.75" customHeight="1" x14ac:dyDescent="0.3">
      <c r="A228" s="49" t="s">
        <v>333</v>
      </c>
      <c r="B228" s="33" t="s">
        <v>180</v>
      </c>
      <c r="C228" s="37">
        <v>1000</v>
      </c>
      <c r="D228" s="37"/>
      <c r="E228" s="37"/>
      <c r="F228" s="38"/>
      <c r="G228" s="37"/>
      <c r="H228" s="37"/>
      <c r="I228" s="38"/>
      <c r="J228" s="38"/>
      <c r="K228" s="37"/>
      <c r="L228" s="38"/>
      <c r="M228" s="37"/>
      <c r="N228" s="37"/>
      <c r="O228" s="27">
        <f t="shared" si="46"/>
        <v>1000</v>
      </c>
      <c r="P228" s="59"/>
      <c r="Q228" s="59"/>
    </row>
    <row r="229" spans="1:17" s="4" customFormat="1" ht="30" customHeight="1" x14ac:dyDescent="0.25">
      <c r="A229" s="49" t="s">
        <v>334</v>
      </c>
      <c r="B229" s="45" t="s">
        <v>437</v>
      </c>
      <c r="C229" s="29">
        <v>222000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>
        <f t="shared" si="46"/>
        <v>222000</v>
      </c>
      <c r="P229" s="57"/>
      <c r="Q229" s="57"/>
    </row>
    <row r="230" spans="1:17" s="10" customFormat="1" ht="15.75" customHeight="1" x14ac:dyDescent="0.3">
      <c r="A230" s="49" t="s">
        <v>335</v>
      </c>
      <c r="B230" s="33" t="s">
        <v>156</v>
      </c>
      <c r="C230" s="54">
        <v>11000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11000</v>
      </c>
      <c r="P230" s="59"/>
      <c r="Q230" s="59"/>
    </row>
    <row r="231" spans="1:17" s="10" customFormat="1" ht="15.75" customHeight="1" x14ac:dyDescent="0.3">
      <c r="A231" s="49" t="s">
        <v>336</v>
      </c>
      <c r="B231" s="33" t="s">
        <v>375</v>
      </c>
      <c r="C231" s="37">
        <f>82950-20000</f>
        <v>62950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62950</v>
      </c>
      <c r="P231" s="59"/>
      <c r="Q231" s="59"/>
    </row>
    <row r="232" spans="1:17" s="10" customFormat="1" ht="15.75" customHeight="1" x14ac:dyDescent="0.3">
      <c r="A232" s="49" t="s">
        <v>337</v>
      </c>
      <c r="B232" s="33" t="s">
        <v>267</v>
      </c>
      <c r="C232" s="37">
        <v>2148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2148</v>
      </c>
      <c r="P232" s="59"/>
      <c r="Q232" s="59"/>
    </row>
    <row r="233" spans="1:17" s="10" customFormat="1" ht="45.75" customHeight="1" x14ac:dyDescent="0.3">
      <c r="A233" s="49" t="s">
        <v>338</v>
      </c>
      <c r="B233" s="33" t="s">
        <v>572</v>
      </c>
      <c r="C233" s="37">
        <f>5000+14000</f>
        <v>19000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 t="shared" si="46"/>
        <v>19000</v>
      </c>
      <c r="P233" s="59"/>
      <c r="Q233" s="59"/>
    </row>
    <row r="234" spans="1:17" s="10" customFormat="1" ht="30.75" customHeight="1" x14ac:dyDescent="0.3">
      <c r="A234" s="49" t="s">
        <v>339</v>
      </c>
      <c r="B234" s="33" t="s">
        <v>183</v>
      </c>
      <c r="C234" s="37">
        <v>23000</v>
      </c>
      <c r="D234" s="37"/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>C234+F234+I234+L234</f>
        <v>23000</v>
      </c>
      <c r="P234" s="59"/>
      <c r="Q234" s="59"/>
    </row>
    <row r="235" spans="1:17" s="10" customFormat="1" ht="28.5" customHeight="1" x14ac:dyDescent="0.3">
      <c r="A235" s="49" t="s">
        <v>340</v>
      </c>
      <c r="B235" s="33" t="s">
        <v>559</v>
      </c>
      <c r="C235" s="37">
        <f>187400-20350</f>
        <v>167050</v>
      </c>
      <c r="D235" s="37">
        <v>184150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167050</v>
      </c>
      <c r="P235" s="59"/>
      <c r="Q235" s="59"/>
    </row>
    <row r="236" spans="1:17" s="10" customFormat="1" ht="30" customHeight="1" x14ac:dyDescent="0.3">
      <c r="A236" s="49" t="s">
        <v>341</v>
      </c>
      <c r="B236" s="60" t="s">
        <v>304</v>
      </c>
      <c r="C236" s="37">
        <f>208800-112521</f>
        <v>96279</v>
      </c>
      <c r="D236" s="37">
        <v>205070</v>
      </c>
      <c r="E236" s="37"/>
      <c r="F236" s="38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96279</v>
      </c>
      <c r="P236" s="59"/>
      <c r="Q236" s="59"/>
    </row>
    <row r="237" spans="1:17" s="10" customFormat="1" ht="29.25" customHeight="1" x14ac:dyDescent="0.3">
      <c r="A237" s="49" t="s">
        <v>478</v>
      </c>
      <c r="B237" s="33" t="s">
        <v>181</v>
      </c>
      <c r="C237" s="37">
        <v>601400</v>
      </c>
      <c r="D237" s="37">
        <v>580000</v>
      </c>
      <c r="E237" s="37"/>
      <c r="F237" s="37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601400</v>
      </c>
      <c r="P237" s="59"/>
      <c r="Q237" s="59"/>
    </row>
    <row r="238" spans="1:17" s="10" customFormat="1" ht="30" customHeight="1" x14ac:dyDescent="0.3">
      <c r="A238" s="49" t="s">
        <v>377</v>
      </c>
      <c r="B238" s="33" t="s">
        <v>376</v>
      </c>
      <c r="C238" s="37">
        <v>90700</v>
      </c>
      <c r="D238" s="37">
        <v>22700</v>
      </c>
      <c r="E238" s="37"/>
      <c r="F238" s="38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90700</v>
      </c>
      <c r="P238" s="59"/>
      <c r="Q238" s="59"/>
    </row>
    <row r="239" spans="1:17" s="10" customFormat="1" ht="29.25" customHeight="1" x14ac:dyDescent="0.3">
      <c r="A239" s="49" t="s">
        <v>429</v>
      </c>
      <c r="B239" s="60" t="s">
        <v>206</v>
      </c>
      <c r="C239" s="37">
        <v>417400</v>
      </c>
      <c r="D239" s="37">
        <v>410140</v>
      </c>
      <c r="E239" s="37"/>
      <c r="F239" s="37"/>
      <c r="G239" s="37"/>
      <c r="H239" s="37"/>
      <c r="I239" s="38"/>
      <c r="J239" s="38"/>
      <c r="K239" s="37"/>
      <c r="L239" s="38"/>
      <c r="M239" s="37"/>
      <c r="N239" s="37"/>
      <c r="O239" s="27">
        <f t="shared" si="46"/>
        <v>417400</v>
      </c>
      <c r="P239" s="59"/>
      <c r="Q239" s="59"/>
    </row>
    <row r="240" spans="1:17" s="10" customFormat="1" ht="45.75" customHeight="1" x14ac:dyDescent="0.3">
      <c r="A240" s="49" t="s">
        <v>479</v>
      </c>
      <c r="B240" s="33" t="s">
        <v>187</v>
      </c>
      <c r="C240" s="37">
        <v>76200</v>
      </c>
      <c r="D240" s="37">
        <v>60000</v>
      </c>
      <c r="E240" s="37"/>
      <c r="F240" s="38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76200</v>
      </c>
      <c r="P240" s="59"/>
      <c r="Q240" s="59"/>
    </row>
    <row r="241" spans="1:21" s="10" customFormat="1" ht="29.25" customHeight="1" x14ac:dyDescent="0.3">
      <c r="A241" s="49" t="s">
        <v>480</v>
      </c>
      <c r="B241" s="60" t="s">
        <v>481</v>
      </c>
      <c r="C241" s="37">
        <f>137400+30520</f>
        <v>167920</v>
      </c>
      <c r="D241" s="37">
        <v>135000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167920</v>
      </c>
      <c r="P241" s="59"/>
      <c r="Q241" s="59"/>
    </row>
    <row r="242" spans="1:21" s="10" customFormat="1" ht="29.25" customHeight="1" x14ac:dyDescent="0.3">
      <c r="A242" s="49" t="s">
        <v>482</v>
      </c>
      <c r="B242" s="60" t="s">
        <v>483</v>
      </c>
      <c r="C242" s="37">
        <f>142000-37000-43187+102351</f>
        <v>164164</v>
      </c>
      <c r="D242" s="37">
        <v>120000</v>
      </c>
      <c r="E242" s="37"/>
      <c r="F242" s="37"/>
      <c r="G242" s="37"/>
      <c r="H242" s="37"/>
      <c r="I242" s="38"/>
      <c r="J242" s="38"/>
      <c r="K242" s="37"/>
      <c r="L242" s="38"/>
      <c r="M242" s="37"/>
      <c r="N242" s="37"/>
      <c r="O242" s="27">
        <f>C242+F242+I242+L242</f>
        <v>164164</v>
      </c>
      <c r="P242" s="59"/>
      <c r="Q242" s="59"/>
    </row>
    <row r="243" spans="1:21" s="10" customFormat="1" ht="30" customHeight="1" x14ac:dyDescent="0.3">
      <c r="A243" s="49" t="s">
        <v>484</v>
      </c>
      <c r="B243" s="33" t="s">
        <v>485</v>
      </c>
      <c r="C243" s="37">
        <v>48440</v>
      </c>
      <c r="D243" s="37">
        <v>40000</v>
      </c>
      <c r="E243" s="37"/>
      <c r="F243" s="38"/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48440</v>
      </c>
      <c r="P243" s="59"/>
      <c r="Q243" s="59"/>
    </row>
    <row r="244" spans="1:21" s="10" customFormat="1" ht="33" customHeight="1" x14ac:dyDescent="0.3">
      <c r="A244" s="49" t="s">
        <v>430</v>
      </c>
      <c r="B244" s="33" t="s">
        <v>486</v>
      </c>
      <c r="C244" s="37"/>
      <c r="D244" s="37"/>
      <c r="E244" s="37"/>
      <c r="F244" s="37">
        <v>6750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6750</v>
      </c>
      <c r="Q244" s="93"/>
      <c r="T244" s="93"/>
      <c r="U244" s="93"/>
    </row>
    <row r="245" spans="1:21" s="10" customFormat="1" ht="30.75" customHeight="1" x14ac:dyDescent="0.3">
      <c r="A245" s="49" t="s">
        <v>555</v>
      </c>
      <c r="B245" s="33" t="s">
        <v>431</v>
      </c>
      <c r="C245" s="37"/>
      <c r="D245" s="37"/>
      <c r="E245" s="37"/>
      <c r="F245" s="37">
        <v>445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445</v>
      </c>
      <c r="Q245" s="93"/>
      <c r="T245" s="93"/>
      <c r="U245" s="93"/>
    </row>
    <row r="246" spans="1:21" s="10" customFormat="1" ht="30.75" customHeight="1" x14ac:dyDescent="0.3">
      <c r="A246" s="49" t="s">
        <v>558</v>
      </c>
      <c r="B246" s="33" t="s">
        <v>556</v>
      </c>
      <c r="C246" s="37"/>
      <c r="D246" s="37"/>
      <c r="E246" s="37"/>
      <c r="F246" s="37">
        <f>18391+9814</f>
        <v>28205</v>
      </c>
      <c r="G246" s="37"/>
      <c r="H246" s="37"/>
      <c r="I246" s="38"/>
      <c r="J246" s="38"/>
      <c r="K246" s="37"/>
      <c r="L246" s="38"/>
      <c r="M246" s="37"/>
      <c r="N246" s="37"/>
      <c r="O246" s="27">
        <f t="shared" si="46"/>
        <v>28205</v>
      </c>
      <c r="Q246" s="93"/>
      <c r="T246" s="93"/>
      <c r="U246" s="93"/>
    </row>
    <row r="247" spans="1:21" s="10" customFormat="1" ht="15.6" x14ac:dyDescent="0.3">
      <c r="A247" s="49" t="s">
        <v>560</v>
      </c>
      <c r="B247" s="33" t="s">
        <v>557</v>
      </c>
      <c r="C247" s="37"/>
      <c r="D247" s="37"/>
      <c r="E247" s="37"/>
      <c r="F247" s="37">
        <v>100000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100000</v>
      </c>
      <c r="Q247" s="93"/>
      <c r="T247" s="93"/>
      <c r="U247" s="93"/>
    </row>
    <row r="248" spans="1:21" s="10" customFormat="1" ht="15.6" x14ac:dyDescent="0.3">
      <c r="A248" s="49" t="s">
        <v>575</v>
      </c>
      <c r="B248" s="33" t="s">
        <v>576</v>
      </c>
      <c r="C248" s="37"/>
      <c r="D248" s="37"/>
      <c r="E248" s="37"/>
      <c r="F248" s="37">
        <v>1700</v>
      </c>
      <c r="G248" s="37"/>
      <c r="H248" s="37"/>
      <c r="I248" s="38"/>
      <c r="J248" s="38"/>
      <c r="K248" s="37"/>
      <c r="L248" s="38"/>
      <c r="M248" s="37"/>
      <c r="N248" s="37"/>
      <c r="O248" s="27">
        <f>C248+F248+I248+L248</f>
        <v>1700</v>
      </c>
      <c r="Q248" s="93"/>
      <c r="T248" s="93"/>
      <c r="U248" s="93"/>
    </row>
    <row r="249" spans="1:21" s="4" customFormat="1" ht="18" customHeight="1" x14ac:dyDescent="0.25">
      <c r="A249" s="27" t="s">
        <v>147</v>
      </c>
      <c r="B249" s="42" t="s">
        <v>13</v>
      </c>
      <c r="C249" s="27">
        <f>246000-142000+142000+9700+24000</f>
        <v>279700</v>
      </c>
      <c r="D249" s="27">
        <f>242500-120000+120000</f>
        <v>242500</v>
      </c>
      <c r="E249" s="27"/>
      <c r="F249" s="27">
        <f>16000-5000</f>
        <v>11000</v>
      </c>
      <c r="G249" s="27">
        <f>15770-4920</f>
        <v>10850</v>
      </c>
      <c r="H249" s="27"/>
      <c r="I249" s="27"/>
      <c r="J249" s="27"/>
      <c r="K249" s="27"/>
      <c r="L249" s="27">
        <f>237000+14500</f>
        <v>251500</v>
      </c>
      <c r="M249" s="27">
        <v>147511</v>
      </c>
      <c r="N249" s="27"/>
      <c r="O249" s="27">
        <f t="shared" si="46"/>
        <v>542200</v>
      </c>
      <c r="P249" s="57"/>
      <c r="Q249" s="57"/>
    </row>
    <row r="250" spans="1:21" s="4" customFormat="1" ht="16.5" customHeight="1" x14ac:dyDescent="0.25">
      <c r="A250" s="27" t="s">
        <v>148</v>
      </c>
      <c r="B250" s="42" t="s">
        <v>305</v>
      </c>
      <c r="C250" s="27">
        <f>152000+107000+43187-2900</f>
        <v>299287</v>
      </c>
      <c r="D250" s="27">
        <f>240000-120000</f>
        <v>120000</v>
      </c>
      <c r="E250" s="27"/>
      <c r="F250" s="27">
        <f>20000+545+4444</f>
        <v>24989</v>
      </c>
      <c r="G250" s="27">
        <f>14790+4920</f>
        <v>19710</v>
      </c>
      <c r="H250" s="27"/>
      <c r="I250" s="27"/>
      <c r="J250" s="27"/>
      <c r="K250" s="27"/>
      <c r="L250" s="27">
        <f>4800+181374-3770-90580</f>
        <v>91824</v>
      </c>
      <c r="M250" s="27">
        <v>178782</v>
      </c>
      <c r="N250" s="27"/>
      <c r="O250" s="27">
        <f>C250+F250+I250+L250</f>
        <v>416100</v>
      </c>
      <c r="P250" s="57"/>
      <c r="Q250" s="57"/>
    </row>
    <row r="251" spans="1:21" s="7" customFormat="1" ht="18" customHeight="1" x14ac:dyDescent="0.25">
      <c r="A251" s="27"/>
      <c r="B251" s="50" t="s">
        <v>24</v>
      </c>
      <c r="C251" s="63">
        <f t="shared" ref="C251:N251" si="47">C12+C41+C48+C56+C89+C115+C146+C205</f>
        <v>29234138</v>
      </c>
      <c r="D251" s="63">
        <f t="shared" si="47"/>
        <v>16004721</v>
      </c>
      <c r="E251" s="63">
        <f t="shared" si="47"/>
        <v>0</v>
      </c>
      <c r="F251" s="63">
        <f t="shared" si="47"/>
        <v>8439446</v>
      </c>
      <c r="G251" s="63">
        <f t="shared" si="47"/>
        <v>2075585</v>
      </c>
      <c r="H251" s="63">
        <f t="shared" si="47"/>
        <v>195370</v>
      </c>
      <c r="I251" s="63">
        <f>I12+I41+I48+I56+I89+I115+I146+I205</f>
        <v>12645800</v>
      </c>
      <c r="J251" s="63">
        <f t="shared" si="47"/>
        <v>10193706</v>
      </c>
      <c r="K251" s="63">
        <f t="shared" si="47"/>
        <v>0</v>
      </c>
      <c r="L251" s="63">
        <f t="shared" si="47"/>
        <v>2772703</v>
      </c>
      <c r="M251" s="63">
        <f t="shared" si="47"/>
        <v>374423</v>
      </c>
      <c r="N251" s="63">
        <f t="shared" si="47"/>
        <v>0</v>
      </c>
      <c r="O251" s="63">
        <f>O12+O41+O48+O56+O89+O115+O146+O205</f>
        <v>53092087</v>
      </c>
      <c r="P251" s="57"/>
      <c r="Q251" s="57"/>
    </row>
    <row r="252" spans="1:21" s="10" customFormat="1" ht="15.75" customHeight="1" x14ac:dyDescent="0.3">
      <c r="A252" s="27" t="s">
        <v>149</v>
      </c>
      <c r="B252" s="42" t="s">
        <v>23</v>
      </c>
      <c r="C252" s="38">
        <f>SUM(C254,C253)</f>
        <v>1083664</v>
      </c>
      <c r="D252" s="37"/>
      <c r="E252" s="37"/>
      <c r="F252" s="38">
        <f>SUM(F254)</f>
        <v>0</v>
      </c>
      <c r="G252" s="37"/>
      <c r="H252" s="37"/>
      <c r="I252" s="38"/>
      <c r="J252" s="38"/>
      <c r="K252" s="37"/>
      <c r="L252" s="38"/>
      <c r="M252" s="37"/>
      <c r="N252" s="37"/>
      <c r="O252" s="27">
        <f>C252+F252+I252+L252</f>
        <v>1083664</v>
      </c>
      <c r="P252" s="57"/>
      <c r="Q252" s="57"/>
    </row>
    <row r="253" spans="1:21" s="7" customFormat="1" ht="18" customHeight="1" x14ac:dyDescent="0.25">
      <c r="A253" s="66" t="s">
        <v>342</v>
      </c>
      <c r="B253" s="45" t="s">
        <v>198</v>
      </c>
      <c r="C253" s="29">
        <f>927100-25000</f>
        <v>902100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902100</v>
      </c>
      <c r="P253" s="58"/>
      <c r="Q253" s="58"/>
    </row>
    <row r="254" spans="1:21" s="7" customFormat="1" ht="18" customHeight="1" x14ac:dyDescent="0.25">
      <c r="A254" s="66" t="s">
        <v>342</v>
      </c>
      <c r="B254" s="45" t="s">
        <v>487</v>
      </c>
      <c r="C254" s="29">
        <f>156564+25000</f>
        <v>181564</v>
      </c>
      <c r="D254" s="31"/>
      <c r="E254" s="29"/>
      <c r="F254" s="31"/>
      <c r="G254" s="31"/>
      <c r="H254" s="31"/>
      <c r="I254" s="31"/>
      <c r="J254" s="31"/>
      <c r="K254" s="31"/>
      <c r="L254" s="31"/>
      <c r="M254" s="31"/>
      <c r="N254" s="31"/>
      <c r="O254" s="27">
        <f>C254+F254+I254+L254</f>
        <v>181564</v>
      </c>
      <c r="P254" s="58"/>
      <c r="Q254" s="58"/>
    </row>
    <row r="255" spans="1:21" s="2" customFormat="1" ht="18.75" customHeight="1" x14ac:dyDescent="0.3">
      <c r="A255" s="41"/>
      <c r="B255" s="32"/>
      <c r="C255" s="1"/>
      <c r="F255" s="9"/>
      <c r="I255" s="9"/>
      <c r="J255" s="9"/>
      <c r="K255" s="7"/>
      <c r="L255" s="9"/>
      <c r="O255" s="1"/>
      <c r="P255" s="17"/>
      <c r="Q255" s="17"/>
    </row>
    <row r="256" spans="1:21" s="7" customFormat="1" ht="15" customHeight="1" x14ac:dyDescent="0.25">
      <c r="A256" s="41"/>
      <c r="B256" s="32"/>
      <c r="C256" s="9"/>
      <c r="F256" s="9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78"/>
      <c r="D257" s="79"/>
      <c r="E257" s="79"/>
      <c r="F257" s="78"/>
      <c r="I257" s="9"/>
      <c r="J257" s="9"/>
      <c r="L257" s="9"/>
      <c r="P257" s="58"/>
      <c r="Q257" s="58"/>
    </row>
    <row r="258" spans="1:17" s="7" customFormat="1" ht="15" customHeight="1" x14ac:dyDescent="0.25">
      <c r="A258" s="41"/>
      <c r="B258" s="32"/>
      <c r="C258" s="9"/>
      <c r="F258" s="9"/>
      <c r="I258" s="9"/>
      <c r="J258" s="9"/>
      <c r="L258" s="9"/>
      <c r="P258" s="58"/>
      <c r="Q258" s="58"/>
    </row>
    <row r="259" spans="1:17" s="7" customFormat="1" ht="15" customHeight="1" x14ac:dyDescent="0.25">
      <c r="A259" s="41"/>
      <c r="B259" s="32"/>
      <c r="C259" s="9"/>
      <c r="F259" s="9"/>
      <c r="I259" s="9"/>
      <c r="J259" s="9"/>
      <c r="L259" s="9"/>
      <c r="P259" s="58"/>
      <c r="Q259" s="58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4:O204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workbookViewId="0">
      <selection activeCell="M16" sqref="M16"/>
    </sheetView>
  </sheetViews>
  <sheetFormatPr defaultRowHeight="13.2" x14ac:dyDescent="0.25"/>
  <cols>
    <col min="1" max="1" width="8.33203125" style="111" customWidth="1"/>
    <col min="2" max="2" width="65.6640625" style="15" customWidth="1"/>
    <col min="3" max="3" width="15.88671875" style="15" customWidth="1"/>
    <col min="4" max="4" width="3.6640625" style="15" customWidth="1"/>
    <col min="5" max="251" width="9.109375" style="15"/>
    <col min="252" max="252" width="8.33203125" style="15" customWidth="1"/>
    <col min="253" max="253" width="65.6640625" style="15" customWidth="1"/>
    <col min="254" max="254" width="15.88671875" style="15" customWidth="1"/>
    <col min="255" max="255" width="3.6640625" style="15" customWidth="1"/>
    <col min="256" max="507" width="9.109375" style="15"/>
    <col min="508" max="508" width="8.33203125" style="15" customWidth="1"/>
    <col min="509" max="509" width="65.6640625" style="15" customWidth="1"/>
    <col min="510" max="510" width="15.88671875" style="15" customWidth="1"/>
    <col min="511" max="511" width="3.6640625" style="15" customWidth="1"/>
    <col min="512" max="763" width="9.109375" style="15"/>
    <col min="764" max="764" width="8.33203125" style="15" customWidth="1"/>
    <col min="765" max="765" width="65.6640625" style="15" customWidth="1"/>
    <col min="766" max="766" width="15.88671875" style="15" customWidth="1"/>
    <col min="767" max="767" width="3.6640625" style="15" customWidth="1"/>
    <col min="768" max="1019" width="9.109375" style="15"/>
    <col min="1020" max="1020" width="8.33203125" style="15" customWidth="1"/>
    <col min="1021" max="1021" width="65.6640625" style="15" customWidth="1"/>
    <col min="1022" max="1022" width="15.88671875" style="15" customWidth="1"/>
    <col min="1023" max="1023" width="3.6640625" style="15" customWidth="1"/>
    <col min="1024" max="1275" width="9.109375" style="15"/>
    <col min="1276" max="1276" width="8.33203125" style="15" customWidth="1"/>
    <col min="1277" max="1277" width="65.6640625" style="15" customWidth="1"/>
    <col min="1278" max="1278" width="15.88671875" style="15" customWidth="1"/>
    <col min="1279" max="1279" width="3.6640625" style="15" customWidth="1"/>
    <col min="1280" max="1531" width="9.109375" style="15"/>
    <col min="1532" max="1532" width="8.33203125" style="15" customWidth="1"/>
    <col min="1533" max="1533" width="65.6640625" style="15" customWidth="1"/>
    <col min="1534" max="1534" width="15.88671875" style="15" customWidth="1"/>
    <col min="1535" max="1535" width="3.6640625" style="15" customWidth="1"/>
    <col min="1536" max="1787" width="9.109375" style="15"/>
    <col min="1788" max="1788" width="8.33203125" style="15" customWidth="1"/>
    <col min="1789" max="1789" width="65.6640625" style="15" customWidth="1"/>
    <col min="1790" max="1790" width="15.88671875" style="15" customWidth="1"/>
    <col min="1791" max="1791" width="3.6640625" style="15" customWidth="1"/>
    <col min="1792" max="2043" width="9.109375" style="15"/>
    <col min="2044" max="2044" width="8.33203125" style="15" customWidth="1"/>
    <col min="2045" max="2045" width="65.6640625" style="15" customWidth="1"/>
    <col min="2046" max="2046" width="15.88671875" style="15" customWidth="1"/>
    <col min="2047" max="2047" width="3.6640625" style="15" customWidth="1"/>
    <col min="2048" max="2299" width="9.109375" style="15"/>
    <col min="2300" max="2300" width="8.33203125" style="15" customWidth="1"/>
    <col min="2301" max="2301" width="65.6640625" style="15" customWidth="1"/>
    <col min="2302" max="2302" width="15.88671875" style="15" customWidth="1"/>
    <col min="2303" max="2303" width="3.6640625" style="15" customWidth="1"/>
    <col min="2304" max="2555" width="9.109375" style="15"/>
    <col min="2556" max="2556" width="8.33203125" style="15" customWidth="1"/>
    <col min="2557" max="2557" width="65.6640625" style="15" customWidth="1"/>
    <col min="2558" max="2558" width="15.88671875" style="15" customWidth="1"/>
    <col min="2559" max="2559" width="3.6640625" style="15" customWidth="1"/>
    <col min="2560" max="2811" width="9.109375" style="15"/>
    <col min="2812" max="2812" width="8.33203125" style="15" customWidth="1"/>
    <col min="2813" max="2813" width="65.6640625" style="15" customWidth="1"/>
    <col min="2814" max="2814" width="15.88671875" style="15" customWidth="1"/>
    <col min="2815" max="2815" width="3.6640625" style="15" customWidth="1"/>
    <col min="2816" max="3067" width="9.109375" style="15"/>
    <col min="3068" max="3068" width="8.33203125" style="15" customWidth="1"/>
    <col min="3069" max="3069" width="65.6640625" style="15" customWidth="1"/>
    <col min="3070" max="3070" width="15.88671875" style="15" customWidth="1"/>
    <col min="3071" max="3071" width="3.6640625" style="15" customWidth="1"/>
    <col min="3072" max="3323" width="9.109375" style="15"/>
    <col min="3324" max="3324" width="8.33203125" style="15" customWidth="1"/>
    <col min="3325" max="3325" width="65.6640625" style="15" customWidth="1"/>
    <col min="3326" max="3326" width="15.88671875" style="15" customWidth="1"/>
    <col min="3327" max="3327" width="3.6640625" style="15" customWidth="1"/>
    <col min="3328" max="3579" width="9.109375" style="15"/>
    <col min="3580" max="3580" width="8.33203125" style="15" customWidth="1"/>
    <col min="3581" max="3581" width="65.6640625" style="15" customWidth="1"/>
    <col min="3582" max="3582" width="15.88671875" style="15" customWidth="1"/>
    <col min="3583" max="3583" width="3.6640625" style="15" customWidth="1"/>
    <col min="3584" max="3835" width="9.109375" style="15"/>
    <col min="3836" max="3836" width="8.33203125" style="15" customWidth="1"/>
    <col min="3837" max="3837" width="65.6640625" style="15" customWidth="1"/>
    <col min="3838" max="3838" width="15.88671875" style="15" customWidth="1"/>
    <col min="3839" max="3839" width="3.6640625" style="15" customWidth="1"/>
    <col min="3840" max="4091" width="9.109375" style="15"/>
    <col min="4092" max="4092" width="8.33203125" style="15" customWidth="1"/>
    <col min="4093" max="4093" width="65.6640625" style="15" customWidth="1"/>
    <col min="4094" max="4094" width="15.88671875" style="15" customWidth="1"/>
    <col min="4095" max="4095" width="3.6640625" style="15" customWidth="1"/>
    <col min="4096" max="4347" width="9.109375" style="15"/>
    <col min="4348" max="4348" width="8.33203125" style="15" customWidth="1"/>
    <col min="4349" max="4349" width="65.6640625" style="15" customWidth="1"/>
    <col min="4350" max="4350" width="15.88671875" style="15" customWidth="1"/>
    <col min="4351" max="4351" width="3.6640625" style="15" customWidth="1"/>
    <col min="4352" max="4603" width="9.109375" style="15"/>
    <col min="4604" max="4604" width="8.33203125" style="15" customWidth="1"/>
    <col min="4605" max="4605" width="65.6640625" style="15" customWidth="1"/>
    <col min="4606" max="4606" width="15.88671875" style="15" customWidth="1"/>
    <col min="4607" max="4607" width="3.6640625" style="15" customWidth="1"/>
    <col min="4608" max="4859" width="9.109375" style="15"/>
    <col min="4860" max="4860" width="8.33203125" style="15" customWidth="1"/>
    <col min="4861" max="4861" width="65.6640625" style="15" customWidth="1"/>
    <col min="4862" max="4862" width="15.88671875" style="15" customWidth="1"/>
    <col min="4863" max="4863" width="3.6640625" style="15" customWidth="1"/>
    <col min="4864" max="5115" width="9.109375" style="15"/>
    <col min="5116" max="5116" width="8.33203125" style="15" customWidth="1"/>
    <col min="5117" max="5117" width="65.6640625" style="15" customWidth="1"/>
    <col min="5118" max="5118" width="15.88671875" style="15" customWidth="1"/>
    <col min="5119" max="5119" width="3.6640625" style="15" customWidth="1"/>
    <col min="5120" max="5371" width="9.109375" style="15"/>
    <col min="5372" max="5372" width="8.33203125" style="15" customWidth="1"/>
    <col min="5373" max="5373" width="65.6640625" style="15" customWidth="1"/>
    <col min="5374" max="5374" width="15.88671875" style="15" customWidth="1"/>
    <col min="5375" max="5375" width="3.6640625" style="15" customWidth="1"/>
    <col min="5376" max="5627" width="9.109375" style="15"/>
    <col min="5628" max="5628" width="8.33203125" style="15" customWidth="1"/>
    <col min="5629" max="5629" width="65.6640625" style="15" customWidth="1"/>
    <col min="5630" max="5630" width="15.88671875" style="15" customWidth="1"/>
    <col min="5631" max="5631" width="3.6640625" style="15" customWidth="1"/>
    <col min="5632" max="5883" width="9.109375" style="15"/>
    <col min="5884" max="5884" width="8.33203125" style="15" customWidth="1"/>
    <col min="5885" max="5885" width="65.6640625" style="15" customWidth="1"/>
    <col min="5886" max="5886" width="15.88671875" style="15" customWidth="1"/>
    <col min="5887" max="5887" width="3.6640625" style="15" customWidth="1"/>
    <col min="5888" max="6139" width="9.109375" style="15"/>
    <col min="6140" max="6140" width="8.33203125" style="15" customWidth="1"/>
    <col min="6141" max="6141" width="65.6640625" style="15" customWidth="1"/>
    <col min="6142" max="6142" width="15.88671875" style="15" customWidth="1"/>
    <col min="6143" max="6143" width="3.6640625" style="15" customWidth="1"/>
    <col min="6144" max="6395" width="9.109375" style="15"/>
    <col min="6396" max="6396" width="8.33203125" style="15" customWidth="1"/>
    <col min="6397" max="6397" width="65.6640625" style="15" customWidth="1"/>
    <col min="6398" max="6398" width="15.88671875" style="15" customWidth="1"/>
    <col min="6399" max="6399" width="3.6640625" style="15" customWidth="1"/>
    <col min="6400" max="6651" width="9.109375" style="15"/>
    <col min="6652" max="6652" width="8.33203125" style="15" customWidth="1"/>
    <col min="6653" max="6653" width="65.6640625" style="15" customWidth="1"/>
    <col min="6654" max="6654" width="15.88671875" style="15" customWidth="1"/>
    <col min="6655" max="6655" width="3.6640625" style="15" customWidth="1"/>
    <col min="6656" max="6907" width="9.109375" style="15"/>
    <col min="6908" max="6908" width="8.33203125" style="15" customWidth="1"/>
    <col min="6909" max="6909" width="65.6640625" style="15" customWidth="1"/>
    <col min="6910" max="6910" width="15.88671875" style="15" customWidth="1"/>
    <col min="6911" max="6911" width="3.6640625" style="15" customWidth="1"/>
    <col min="6912" max="7163" width="9.109375" style="15"/>
    <col min="7164" max="7164" width="8.33203125" style="15" customWidth="1"/>
    <col min="7165" max="7165" width="65.6640625" style="15" customWidth="1"/>
    <col min="7166" max="7166" width="15.88671875" style="15" customWidth="1"/>
    <col min="7167" max="7167" width="3.6640625" style="15" customWidth="1"/>
    <col min="7168" max="7419" width="9.109375" style="15"/>
    <col min="7420" max="7420" width="8.33203125" style="15" customWidth="1"/>
    <col min="7421" max="7421" width="65.6640625" style="15" customWidth="1"/>
    <col min="7422" max="7422" width="15.88671875" style="15" customWidth="1"/>
    <col min="7423" max="7423" width="3.6640625" style="15" customWidth="1"/>
    <col min="7424" max="7675" width="9.109375" style="15"/>
    <col min="7676" max="7676" width="8.33203125" style="15" customWidth="1"/>
    <col min="7677" max="7677" width="65.6640625" style="15" customWidth="1"/>
    <col min="7678" max="7678" width="15.88671875" style="15" customWidth="1"/>
    <col min="7679" max="7679" width="3.6640625" style="15" customWidth="1"/>
    <col min="7680" max="7931" width="9.109375" style="15"/>
    <col min="7932" max="7932" width="8.33203125" style="15" customWidth="1"/>
    <col min="7933" max="7933" width="65.6640625" style="15" customWidth="1"/>
    <col min="7934" max="7934" width="15.88671875" style="15" customWidth="1"/>
    <col min="7935" max="7935" width="3.6640625" style="15" customWidth="1"/>
    <col min="7936" max="8187" width="9.109375" style="15"/>
    <col min="8188" max="8188" width="8.33203125" style="15" customWidth="1"/>
    <col min="8189" max="8189" width="65.6640625" style="15" customWidth="1"/>
    <col min="8190" max="8190" width="15.88671875" style="15" customWidth="1"/>
    <col min="8191" max="8191" width="3.6640625" style="15" customWidth="1"/>
    <col min="8192" max="8443" width="9.109375" style="15"/>
    <col min="8444" max="8444" width="8.33203125" style="15" customWidth="1"/>
    <col min="8445" max="8445" width="65.6640625" style="15" customWidth="1"/>
    <col min="8446" max="8446" width="15.88671875" style="15" customWidth="1"/>
    <col min="8447" max="8447" width="3.6640625" style="15" customWidth="1"/>
    <col min="8448" max="8699" width="9.109375" style="15"/>
    <col min="8700" max="8700" width="8.33203125" style="15" customWidth="1"/>
    <col min="8701" max="8701" width="65.6640625" style="15" customWidth="1"/>
    <col min="8702" max="8702" width="15.88671875" style="15" customWidth="1"/>
    <col min="8703" max="8703" width="3.6640625" style="15" customWidth="1"/>
    <col min="8704" max="8955" width="9.109375" style="15"/>
    <col min="8956" max="8956" width="8.33203125" style="15" customWidth="1"/>
    <col min="8957" max="8957" width="65.6640625" style="15" customWidth="1"/>
    <col min="8958" max="8958" width="15.88671875" style="15" customWidth="1"/>
    <col min="8959" max="8959" width="3.6640625" style="15" customWidth="1"/>
    <col min="8960" max="9211" width="9.109375" style="15"/>
    <col min="9212" max="9212" width="8.33203125" style="15" customWidth="1"/>
    <col min="9213" max="9213" width="65.6640625" style="15" customWidth="1"/>
    <col min="9214" max="9214" width="15.88671875" style="15" customWidth="1"/>
    <col min="9215" max="9215" width="3.6640625" style="15" customWidth="1"/>
    <col min="9216" max="9467" width="9.109375" style="15"/>
    <col min="9468" max="9468" width="8.33203125" style="15" customWidth="1"/>
    <col min="9469" max="9469" width="65.6640625" style="15" customWidth="1"/>
    <col min="9470" max="9470" width="15.88671875" style="15" customWidth="1"/>
    <col min="9471" max="9471" width="3.6640625" style="15" customWidth="1"/>
    <col min="9472" max="9723" width="9.109375" style="15"/>
    <col min="9724" max="9724" width="8.33203125" style="15" customWidth="1"/>
    <col min="9725" max="9725" width="65.6640625" style="15" customWidth="1"/>
    <col min="9726" max="9726" width="15.88671875" style="15" customWidth="1"/>
    <col min="9727" max="9727" width="3.6640625" style="15" customWidth="1"/>
    <col min="9728" max="9979" width="9.109375" style="15"/>
    <col min="9980" max="9980" width="8.33203125" style="15" customWidth="1"/>
    <col min="9981" max="9981" width="65.6640625" style="15" customWidth="1"/>
    <col min="9982" max="9982" width="15.88671875" style="15" customWidth="1"/>
    <col min="9983" max="9983" width="3.6640625" style="15" customWidth="1"/>
    <col min="9984" max="10235" width="9.109375" style="15"/>
    <col min="10236" max="10236" width="8.33203125" style="15" customWidth="1"/>
    <col min="10237" max="10237" width="65.6640625" style="15" customWidth="1"/>
    <col min="10238" max="10238" width="15.88671875" style="15" customWidth="1"/>
    <col min="10239" max="10239" width="3.6640625" style="15" customWidth="1"/>
    <col min="10240" max="10491" width="9.109375" style="15"/>
    <col min="10492" max="10492" width="8.33203125" style="15" customWidth="1"/>
    <col min="10493" max="10493" width="65.6640625" style="15" customWidth="1"/>
    <col min="10494" max="10494" width="15.88671875" style="15" customWidth="1"/>
    <col min="10495" max="10495" width="3.6640625" style="15" customWidth="1"/>
    <col min="10496" max="10747" width="9.109375" style="15"/>
    <col min="10748" max="10748" width="8.33203125" style="15" customWidth="1"/>
    <col min="10749" max="10749" width="65.6640625" style="15" customWidth="1"/>
    <col min="10750" max="10750" width="15.88671875" style="15" customWidth="1"/>
    <col min="10751" max="10751" width="3.6640625" style="15" customWidth="1"/>
    <col min="10752" max="11003" width="9.109375" style="15"/>
    <col min="11004" max="11004" width="8.33203125" style="15" customWidth="1"/>
    <col min="11005" max="11005" width="65.6640625" style="15" customWidth="1"/>
    <col min="11006" max="11006" width="15.88671875" style="15" customWidth="1"/>
    <col min="11007" max="11007" width="3.6640625" style="15" customWidth="1"/>
    <col min="11008" max="11259" width="9.109375" style="15"/>
    <col min="11260" max="11260" width="8.33203125" style="15" customWidth="1"/>
    <col min="11261" max="11261" width="65.6640625" style="15" customWidth="1"/>
    <col min="11262" max="11262" width="15.88671875" style="15" customWidth="1"/>
    <col min="11263" max="11263" width="3.6640625" style="15" customWidth="1"/>
    <col min="11264" max="11515" width="9.109375" style="15"/>
    <col min="11516" max="11516" width="8.33203125" style="15" customWidth="1"/>
    <col min="11517" max="11517" width="65.6640625" style="15" customWidth="1"/>
    <col min="11518" max="11518" width="15.88671875" style="15" customWidth="1"/>
    <col min="11519" max="11519" width="3.6640625" style="15" customWidth="1"/>
    <col min="11520" max="11771" width="9.109375" style="15"/>
    <col min="11772" max="11772" width="8.33203125" style="15" customWidth="1"/>
    <col min="11773" max="11773" width="65.6640625" style="15" customWidth="1"/>
    <col min="11774" max="11774" width="15.88671875" style="15" customWidth="1"/>
    <col min="11775" max="11775" width="3.6640625" style="15" customWidth="1"/>
    <col min="11776" max="12027" width="9.109375" style="15"/>
    <col min="12028" max="12028" width="8.33203125" style="15" customWidth="1"/>
    <col min="12029" max="12029" width="65.6640625" style="15" customWidth="1"/>
    <col min="12030" max="12030" width="15.88671875" style="15" customWidth="1"/>
    <col min="12031" max="12031" width="3.6640625" style="15" customWidth="1"/>
    <col min="12032" max="12283" width="9.109375" style="15"/>
    <col min="12284" max="12284" width="8.33203125" style="15" customWidth="1"/>
    <col min="12285" max="12285" width="65.6640625" style="15" customWidth="1"/>
    <col min="12286" max="12286" width="15.88671875" style="15" customWidth="1"/>
    <col min="12287" max="12287" width="3.6640625" style="15" customWidth="1"/>
    <col min="12288" max="12539" width="9.109375" style="15"/>
    <col min="12540" max="12540" width="8.33203125" style="15" customWidth="1"/>
    <col min="12541" max="12541" width="65.6640625" style="15" customWidth="1"/>
    <col min="12542" max="12542" width="15.88671875" style="15" customWidth="1"/>
    <col min="12543" max="12543" width="3.6640625" style="15" customWidth="1"/>
    <col min="12544" max="12795" width="9.109375" style="15"/>
    <col min="12796" max="12796" width="8.33203125" style="15" customWidth="1"/>
    <col min="12797" max="12797" width="65.6640625" style="15" customWidth="1"/>
    <col min="12798" max="12798" width="15.88671875" style="15" customWidth="1"/>
    <col min="12799" max="12799" width="3.6640625" style="15" customWidth="1"/>
    <col min="12800" max="13051" width="9.109375" style="15"/>
    <col min="13052" max="13052" width="8.33203125" style="15" customWidth="1"/>
    <col min="13053" max="13053" width="65.6640625" style="15" customWidth="1"/>
    <col min="13054" max="13054" width="15.88671875" style="15" customWidth="1"/>
    <col min="13055" max="13055" width="3.6640625" style="15" customWidth="1"/>
    <col min="13056" max="13307" width="9.109375" style="15"/>
    <col min="13308" max="13308" width="8.33203125" style="15" customWidth="1"/>
    <col min="13309" max="13309" width="65.6640625" style="15" customWidth="1"/>
    <col min="13310" max="13310" width="15.88671875" style="15" customWidth="1"/>
    <col min="13311" max="13311" width="3.6640625" style="15" customWidth="1"/>
    <col min="13312" max="13563" width="9.109375" style="15"/>
    <col min="13564" max="13564" width="8.33203125" style="15" customWidth="1"/>
    <col min="13565" max="13565" width="65.6640625" style="15" customWidth="1"/>
    <col min="13566" max="13566" width="15.88671875" style="15" customWidth="1"/>
    <col min="13567" max="13567" width="3.6640625" style="15" customWidth="1"/>
    <col min="13568" max="13819" width="9.109375" style="15"/>
    <col min="13820" max="13820" width="8.33203125" style="15" customWidth="1"/>
    <col min="13821" max="13821" width="65.6640625" style="15" customWidth="1"/>
    <col min="13822" max="13822" width="15.88671875" style="15" customWidth="1"/>
    <col min="13823" max="13823" width="3.6640625" style="15" customWidth="1"/>
    <col min="13824" max="14075" width="9.109375" style="15"/>
    <col min="14076" max="14076" width="8.33203125" style="15" customWidth="1"/>
    <col min="14077" max="14077" width="65.6640625" style="15" customWidth="1"/>
    <col min="14078" max="14078" width="15.88671875" style="15" customWidth="1"/>
    <col min="14079" max="14079" width="3.6640625" style="15" customWidth="1"/>
    <col min="14080" max="14331" width="9.109375" style="15"/>
    <col min="14332" max="14332" width="8.33203125" style="15" customWidth="1"/>
    <col min="14333" max="14333" width="65.6640625" style="15" customWidth="1"/>
    <col min="14334" max="14334" width="15.88671875" style="15" customWidth="1"/>
    <col min="14335" max="14335" width="3.6640625" style="15" customWidth="1"/>
    <col min="14336" max="14587" width="9.109375" style="15"/>
    <col min="14588" max="14588" width="8.33203125" style="15" customWidth="1"/>
    <col min="14589" max="14589" width="65.6640625" style="15" customWidth="1"/>
    <col min="14590" max="14590" width="15.88671875" style="15" customWidth="1"/>
    <col min="14591" max="14591" width="3.6640625" style="15" customWidth="1"/>
    <col min="14592" max="14843" width="9.109375" style="15"/>
    <col min="14844" max="14844" width="8.33203125" style="15" customWidth="1"/>
    <col min="14845" max="14845" width="65.6640625" style="15" customWidth="1"/>
    <col min="14846" max="14846" width="15.88671875" style="15" customWidth="1"/>
    <col min="14847" max="14847" width="3.6640625" style="15" customWidth="1"/>
    <col min="14848" max="15099" width="9.109375" style="15"/>
    <col min="15100" max="15100" width="8.33203125" style="15" customWidth="1"/>
    <col min="15101" max="15101" width="65.6640625" style="15" customWidth="1"/>
    <col min="15102" max="15102" width="15.88671875" style="15" customWidth="1"/>
    <col min="15103" max="15103" width="3.6640625" style="15" customWidth="1"/>
    <col min="15104" max="15355" width="9.109375" style="15"/>
    <col min="15356" max="15356" width="8.33203125" style="15" customWidth="1"/>
    <col min="15357" max="15357" width="65.6640625" style="15" customWidth="1"/>
    <col min="15358" max="15358" width="15.88671875" style="15" customWidth="1"/>
    <col min="15359" max="15359" width="3.6640625" style="15" customWidth="1"/>
    <col min="15360" max="15611" width="9.109375" style="15"/>
    <col min="15612" max="15612" width="8.33203125" style="15" customWidth="1"/>
    <col min="15613" max="15613" width="65.6640625" style="15" customWidth="1"/>
    <col min="15614" max="15614" width="15.88671875" style="15" customWidth="1"/>
    <col min="15615" max="15615" width="3.6640625" style="15" customWidth="1"/>
    <col min="15616" max="15867" width="9.109375" style="15"/>
    <col min="15868" max="15868" width="8.33203125" style="15" customWidth="1"/>
    <col min="15869" max="15869" width="65.6640625" style="15" customWidth="1"/>
    <col min="15870" max="15870" width="15.88671875" style="15" customWidth="1"/>
    <col min="15871" max="15871" width="3.6640625" style="15" customWidth="1"/>
    <col min="15872" max="16123" width="9.109375" style="15"/>
    <col min="16124" max="16124" width="8.33203125" style="15" customWidth="1"/>
    <col min="16125" max="16125" width="65.6640625" style="15" customWidth="1"/>
    <col min="16126" max="16126" width="15.88671875" style="15" customWidth="1"/>
    <col min="16127" max="16127" width="3.6640625" style="15" customWidth="1"/>
    <col min="16128" max="16384" width="9.109375" style="15"/>
  </cols>
  <sheetData>
    <row r="1" spans="1:4" s="8" customFormat="1" ht="15.6" x14ac:dyDescent="0.3">
      <c r="A1" s="7"/>
      <c r="B1" s="121" t="s">
        <v>208</v>
      </c>
      <c r="C1" s="121"/>
    </row>
    <row r="2" spans="1:4" s="8" customFormat="1" ht="15.6" x14ac:dyDescent="0.3">
      <c r="A2" s="7"/>
      <c r="B2" s="121" t="s">
        <v>488</v>
      </c>
      <c r="C2" s="121"/>
    </row>
    <row r="3" spans="1:4" s="8" customFormat="1" ht="15.6" x14ac:dyDescent="0.3">
      <c r="A3" s="7"/>
      <c r="B3" s="16" t="s">
        <v>586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7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7"/>
    </row>
    <row r="10" spans="1:4" ht="13.8" x14ac:dyDescent="0.25">
      <c r="A10" s="97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8" t="s">
        <v>49</v>
      </c>
      <c r="B13" s="99" t="s">
        <v>526</v>
      </c>
      <c r="C13" s="100">
        <v>243700</v>
      </c>
    </row>
    <row r="14" spans="1:4" ht="15.6" x14ac:dyDescent="0.25">
      <c r="A14" s="98" t="s">
        <v>48</v>
      </c>
      <c r="B14" s="99" t="s">
        <v>527</v>
      </c>
      <c r="C14" s="100">
        <v>259000</v>
      </c>
    </row>
    <row r="15" spans="1:4" ht="15.6" x14ac:dyDescent="0.25">
      <c r="A15" s="98" t="s">
        <v>50</v>
      </c>
      <c r="B15" s="99" t="s">
        <v>528</v>
      </c>
      <c r="C15" s="101">
        <f>38900-600</f>
        <v>38300</v>
      </c>
    </row>
    <row r="16" spans="1:4" ht="15.6" x14ac:dyDescent="0.25">
      <c r="A16" s="98" t="s">
        <v>51</v>
      </c>
      <c r="B16" s="99" t="s">
        <v>529</v>
      </c>
      <c r="C16" s="101">
        <f>824200+25500</f>
        <v>849700</v>
      </c>
    </row>
    <row r="17" spans="1:3" ht="15.6" x14ac:dyDescent="0.25">
      <c r="A17" s="98" t="s">
        <v>52</v>
      </c>
      <c r="B17" s="102" t="s">
        <v>530</v>
      </c>
      <c r="C17" s="101">
        <v>4100</v>
      </c>
    </row>
    <row r="18" spans="1:3" ht="15.6" x14ac:dyDescent="0.25">
      <c r="A18" s="98" t="s">
        <v>53</v>
      </c>
      <c r="B18" s="99" t="s">
        <v>531</v>
      </c>
      <c r="C18" s="101">
        <v>25200</v>
      </c>
    </row>
    <row r="19" spans="1:3" ht="31.2" x14ac:dyDescent="0.25">
      <c r="A19" s="98" t="s">
        <v>54</v>
      </c>
      <c r="B19" s="99" t="s">
        <v>532</v>
      </c>
      <c r="C19" s="100">
        <v>600</v>
      </c>
    </row>
    <row r="20" spans="1:3" ht="31.2" x14ac:dyDescent="0.25">
      <c r="A20" s="98" t="s">
        <v>55</v>
      </c>
      <c r="B20" s="99" t="s">
        <v>533</v>
      </c>
      <c r="C20" s="100">
        <v>500</v>
      </c>
    </row>
    <row r="21" spans="1:3" ht="31.2" x14ac:dyDescent="0.25">
      <c r="A21" s="98" t="s">
        <v>56</v>
      </c>
      <c r="B21" s="99" t="s">
        <v>534</v>
      </c>
      <c r="C21" s="101">
        <v>2700</v>
      </c>
    </row>
    <row r="22" spans="1:3" ht="15.6" x14ac:dyDescent="0.25">
      <c r="A22" s="98" t="s">
        <v>57</v>
      </c>
      <c r="B22" s="99" t="s">
        <v>535</v>
      </c>
      <c r="C22" s="101">
        <v>9000</v>
      </c>
    </row>
    <row r="23" spans="1:3" ht="15.6" x14ac:dyDescent="0.25">
      <c r="A23" s="98" t="s">
        <v>58</v>
      </c>
      <c r="B23" s="99" t="s">
        <v>536</v>
      </c>
      <c r="C23" s="100">
        <v>25700</v>
      </c>
    </row>
    <row r="24" spans="1:3" ht="31.2" x14ac:dyDescent="0.25">
      <c r="A24" s="98" t="s">
        <v>59</v>
      </c>
      <c r="B24" s="99" t="s">
        <v>537</v>
      </c>
      <c r="C24" s="101">
        <f>16500-4600</f>
        <v>11900</v>
      </c>
    </row>
    <row r="25" spans="1:3" ht="15.6" x14ac:dyDescent="0.25">
      <c r="A25" s="98" t="s">
        <v>538</v>
      </c>
      <c r="B25" s="99" t="s">
        <v>539</v>
      </c>
      <c r="C25" s="100">
        <f>219700-4400-19200</f>
        <v>196100</v>
      </c>
    </row>
    <row r="26" spans="1:3" ht="15.6" x14ac:dyDescent="0.25">
      <c r="A26" s="98" t="s">
        <v>60</v>
      </c>
      <c r="B26" s="99" t="s">
        <v>540</v>
      </c>
      <c r="C26" s="118">
        <f>499300+5000</f>
        <v>504300</v>
      </c>
    </row>
    <row r="27" spans="1:3" ht="15.6" x14ac:dyDescent="0.25">
      <c r="A27" s="98" t="s">
        <v>90</v>
      </c>
      <c r="B27" s="99" t="s">
        <v>541</v>
      </c>
      <c r="C27" s="118">
        <f>1389800+103500+143000-39000-36700</f>
        <v>1560600</v>
      </c>
    </row>
    <row r="28" spans="1:3" ht="15.6" x14ac:dyDescent="0.25">
      <c r="A28" s="98" t="s">
        <v>91</v>
      </c>
      <c r="B28" s="99" t="s">
        <v>542</v>
      </c>
      <c r="C28" s="100">
        <f>19300+2000</f>
        <v>21300</v>
      </c>
    </row>
    <row r="29" spans="1:3" ht="15.6" x14ac:dyDescent="0.25">
      <c r="A29" s="98" t="s">
        <v>92</v>
      </c>
      <c r="B29" s="103" t="s">
        <v>543</v>
      </c>
      <c r="C29" s="104">
        <v>157500</v>
      </c>
    </row>
    <row r="30" spans="1:3" ht="15.6" x14ac:dyDescent="0.25">
      <c r="A30" s="98" t="s">
        <v>93</v>
      </c>
      <c r="B30" s="99" t="s">
        <v>544</v>
      </c>
      <c r="C30" s="100">
        <f>0+1700</f>
        <v>1700</v>
      </c>
    </row>
    <row r="31" spans="1:3" ht="15.6" x14ac:dyDescent="0.25">
      <c r="A31" s="98" t="s">
        <v>94</v>
      </c>
      <c r="B31" s="99" t="s">
        <v>545</v>
      </c>
      <c r="C31" s="100">
        <v>2000</v>
      </c>
    </row>
    <row r="32" spans="1:3" ht="15.6" x14ac:dyDescent="0.25">
      <c r="A32" s="98" t="s">
        <v>124</v>
      </c>
      <c r="B32" s="99" t="s">
        <v>546</v>
      </c>
      <c r="C32" s="118">
        <f>8176+1301</f>
        <v>9477</v>
      </c>
    </row>
    <row r="33" spans="1:3" ht="31.2" x14ac:dyDescent="0.25">
      <c r="A33" s="98" t="s">
        <v>125</v>
      </c>
      <c r="B33" s="99" t="s">
        <v>547</v>
      </c>
      <c r="C33" s="100">
        <v>43896</v>
      </c>
    </row>
    <row r="34" spans="1:3" ht="46.8" x14ac:dyDescent="0.25">
      <c r="A34" s="98" t="s">
        <v>126</v>
      </c>
      <c r="B34" s="105" t="s">
        <v>548</v>
      </c>
      <c r="C34" s="100">
        <f>72160+146960</f>
        <v>219120</v>
      </c>
    </row>
    <row r="35" spans="1:3" ht="31.2" x14ac:dyDescent="0.25">
      <c r="A35" s="98" t="s">
        <v>127</v>
      </c>
      <c r="B35" s="99" t="s">
        <v>549</v>
      </c>
      <c r="C35" s="100">
        <v>70130</v>
      </c>
    </row>
    <row r="36" spans="1:3" ht="31.2" x14ac:dyDescent="0.25">
      <c r="A36" s="98" t="s">
        <v>128</v>
      </c>
      <c r="B36" s="99" t="s">
        <v>550</v>
      </c>
      <c r="C36" s="100">
        <v>31082</v>
      </c>
    </row>
    <row r="37" spans="1:3" s="7" customFormat="1" ht="15.6" x14ac:dyDescent="0.25">
      <c r="A37" s="106"/>
      <c r="B37" s="107" t="s">
        <v>551</v>
      </c>
      <c r="C37" s="108">
        <f>SUM(C13:C36)</f>
        <v>4287605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10" customFormat="1" ht="15.6" x14ac:dyDescent="0.3">
      <c r="A43" s="109"/>
      <c r="B43" s="2"/>
    </row>
    <row r="44" spans="1:3" s="110" customFormat="1" ht="15" x14ac:dyDescent="0.25">
      <c r="A44" s="109"/>
    </row>
    <row r="45" spans="1:3" s="110" customFormat="1" ht="15" x14ac:dyDescent="0.25">
      <c r="A45" s="109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2024-12-05T14:21:35Z</cp:lastPrinted>
  <dcterms:created xsi:type="dcterms:W3CDTF">2001-01-28T19:21:19Z</dcterms:created>
  <dcterms:modified xsi:type="dcterms:W3CDTF">2024-12-05T14:50:44Z</dcterms:modified>
</cp:coreProperties>
</file>