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i 2024-12/"/>
    </mc:Choice>
  </mc:AlternateContent>
  <xr:revisionPtr revIDLastSave="0" documentId="8_{B29D5DD8-4490-480B-B0AD-350E8CBB73B9}" xr6:coauthVersionLast="47" xr6:coauthVersionMax="47" xr10:uidLastSave="{00000000-0000-0000-0000-000000000000}"/>
  <bookViews>
    <workbookView xWindow="-108" yWindow="-108" windowWidth="23256" windowHeight="12576" tabRatio="758" activeTab="3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30" i="19" l="1"/>
  <c r="C29" i="19"/>
  <c r="C27" i="19"/>
  <c r="C26" i="19"/>
  <c r="C25" i="19"/>
  <c r="C24" i="19"/>
  <c r="C23" i="19"/>
  <c r="C31" i="19"/>
  <c r="C22" i="19"/>
  <c r="C21" i="19"/>
  <c r="C20" i="19"/>
  <c r="C17" i="19"/>
  <c r="C209" i="19"/>
  <c r="C224" i="19"/>
  <c r="C147" i="19"/>
  <c r="C18" i="18"/>
  <c r="C19" i="18"/>
  <c r="C28" i="19"/>
  <c r="C12" i="18" l="1"/>
  <c r="F221" i="19"/>
  <c r="L118" i="19"/>
  <c r="L182" i="19"/>
  <c r="C34" i="19"/>
  <c r="L24" i="19"/>
  <c r="C222" i="19"/>
  <c r="C207" i="19"/>
  <c r="C218" i="19"/>
  <c r="C184" i="19"/>
  <c r="C136" i="19"/>
  <c r="C61" i="19"/>
  <c r="F209" i="19"/>
  <c r="F207" i="19"/>
  <c r="F213" i="19"/>
  <c r="F18" i="19"/>
  <c r="F216" i="19"/>
  <c r="C17" i="18"/>
  <c r="C15" i="18"/>
  <c r="C26" i="18" l="1"/>
  <c r="C25" i="18"/>
  <c r="C22" i="18"/>
  <c r="C21" i="18"/>
  <c r="C27" i="20"/>
  <c r="C40" i="15"/>
  <c r="C27" i="15"/>
  <c r="C28" i="15"/>
  <c r="C29" i="15"/>
  <c r="C42" i="15"/>
  <c r="C32" i="15"/>
  <c r="C59" i="19" l="1"/>
  <c r="C62" i="19"/>
  <c r="C67" i="19"/>
  <c r="C64" i="19"/>
  <c r="L148" i="19"/>
  <c r="F215" i="19"/>
  <c r="F212" i="19"/>
  <c r="O196" i="19"/>
  <c r="L183" i="19"/>
  <c r="C24" i="18"/>
  <c r="C38" i="15"/>
  <c r="C32" i="20"/>
  <c r="C26" i="20"/>
  <c r="C132" i="19"/>
  <c r="C117" i="19"/>
  <c r="C82" i="19"/>
  <c r="F220" i="19"/>
  <c r="F222" i="19"/>
  <c r="F19" i="19"/>
  <c r="L105" i="19"/>
  <c r="C16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F246" i="19"/>
  <c r="L174" i="19"/>
  <c r="L147" i="19"/>
  <c r="L180" i="19"/>
  <c r="L162" i="19"/>
  <c r="L154" i="19"/>
  <c r="L168" i="19"/>
  <c r="L249" i="19"/>
  <c r="L121" i="19"/>
  <c r="L116" i="19"/>
  <c r="L117" i="19"/>
  <c r="F218" i="19"/>
  <c r="C37" i="15"/>
  <c r="F227" i="19"/>
  <c r="O86" i="19"/>
  <c r="O107" i="19"/>
  <c r="I97" i="19"/>
  <c r="F46" i="19"/>
  <c r="C13" i="18"/>
  <c r="F210" i="19"/>
  <c r="C25" i="20"/>
  <c r="C11" i="15" l="1"/>
  <c r="F217" i="19"/>
  <c r="C131" i="19"/>
  <c r="C182" i="19" l="1"/>
  <c r="C118" i="19"/>
  <c r="C116" i="19"/>
  <c r="C119" i="19"/>
  <c r="C249" i="19"/>
  <c r="C130" i="19"/>
  <c r="C98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F106" i="19" l="1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O221" i="19"/>
  <c r="O220" i="19"/>
  <c r="O246" i="19"/>
  <c r="O194" i="19"/>
  <c r="F193" i="19"/>
  <c r="O193" i="19" s="1"/>
  <c r="C24" i="20"/>
  <c r="C15" i="20"/>
  <c r="C34" i="20"/>
  <c r="C163" i="19"/>
  <c r="C162" i="19" s="1"/>
  <c r="C164" i="19"/>
  <c r="O164" i="19" s="1"/>
  <c r="O173" i="19"/>
  <c r="C170" i="19"/>
  <c r="O170" i="19" s="1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O29" i="19"/>
  <c r="O28" i="19"/>
  <c r="O27" i="19"/>
  <c r="O26" i="19"/>
  <c r="L25" i="19"/>
  <c r="O25" i="19" s="1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O187" i="19" l="1"/>
  <c r="F183" i="19"/>
  <c r="J48" i="19"/>
  <c r="C20" i="18"/>
  <c r="F57" i="19"/>
  <c r="F56" i="19" s="1"/>
  <c r="C57" i="19"/>
  <c r="L57" i="19"/>
  <c r="L56" i="19" s="1"/>
  <c r="C174" i="19"/>
  <c r="O174" i="19" s="1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O162" i="19"/>
  <c r="L90" i="19"/>
  <c r="C159" i="19"/>
  <c r="O159" i="19" s="1"/>
  <c r="D146" i="19" l="1"/>
  <c r="D251" i="19" s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O148" i="19"/>
  <c r="C146" i="19"/>
  <c r="C56" i="19"/>
  <c r="O57" i="19"/>
  <c r="O14" i="19"/>
  <c r="C12" i="19"/>
  <c r="L115" i="19"/>
  <c r="O115" i="19" s="1"/>
  <c r="O123" i="19"/>
  <c r="L89" i="19"/>
  <c r="O89" i="19" s="1"/>
  <c r="O90" i="19"/>
  <c r="O56" i="19" l="1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<sst xmlns="http://schemas.openxmlformats.org/spreadsheetml/2006/main" count="702" uniqueCount="592">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</sst>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22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workbookViewId="0">
      <selection activeCell="E13" sqref="E13:G42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1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2338933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112">
        <f>145494+13000+1000+621+2000+3000-7300+1000-2200</f>
        <v>156615</v>
      </c>
    </row>
    <row r="28" spans="1:3" ht="17.25" customHeight="1" x14ac:dyDescent="0.25">
      <c r="A28" s="21" t="s">
        <v>63</v>
      </c>
      <c r="B28" s="22" t="s">
        <v>256</v>
      </c>
      <c r="C28" s="112">
        <f>133956+500+60310-3770+8000-6420+3850-8600</f>
        <v>187826</v>
      </c>
    </row>
    <row r="29" spans="1:3" ht="17.25" customHeight="1" x14ac:dyDescent="0.25">
      <c r="A29" s="21" t="s">
        <v>64</v>
      </c>
      <c r="B29" s="83" t="s">
        <v>231</v>
      </c>
      <c r="C29" s="112">
        <f>911824+20460-90580-37588-1200+7000</f>
        <v>809916</v>
      </c>
    </row>
    <row r="30" spans="1:3" ht="17.25" customHeight="1" x14ac:dyDescent="0.25">
      <c r="A30" s="21" t="s">
        <v>579</v>
      </c>
      <c r="B30" s="83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21290897</v>
      </c>
    </row>
    <row r="32" spans="1:3" ht="17.25" customHeight="1" x14ac:dyDescent="0.25">
      <c r="A32" s="21" t="s">
        <v>67</v>
      </c>
      <c r="B32" s="22" t="s">
        <v>232</v>
      </c>
      <c r="C32" s="112">
        <f>4213604-9600+143000+1700-39000-19200+2000+25500+5000+1301</f>
        <v>4324305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2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112">
        <f>155351+53170-40001-20400-2775-3901-5000-31283-5000-2575</f>
        <v>97586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112">
        <f>6626+719+8640+27583+2042+12690+10797+2138+14091+3132+12253+2664+12063+2899</f>
        <v>118337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55155888</v>
      </c>
    </row>
    <row r="58" spans="1:3" ht="42.75" customHeight="1" x14ac:dyDescent="0.25">
      <c r="B58" s="82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opLeftCell="A7" workbookViewId="0">
      <selection activeCell="E7" sqref="E7:G29"/>
    </sheetView>
  </sheetViews>
  <sheetFormatPr defaultColWidth="9.109375" defaultRowHeight="13.8" x14ac:dyDescent="0.25"/>
  <cols>
    <col min="1" max="1" width="6" style="84" customWidth="1"/>
    <col min="2" max="2" width="71" style="8" customWidth="1"/>
    <col min="3" max="3" width="15" style="86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6"/>
    </row>
    <row r="6" spans="1:3" ht="16.5" customHeight="1" x14ac:dyDescent="0.3">
      <c r="B6" s="17"/>
      <c r="C6" s="66"/>
    </row>
    <row r="7" spans="1:3" ht="18.75" customHeight="1" x14ac:dyDescent="0.25">
      <c r="B7" s="81"/>
      <c r="C7" s="85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3" t="s">
        <v>245</v>
      </c>
      <c r="C11" s="20">
        <f>SUM(C12:C19)</f>
        <v>55155888</v>
      </c>
    </row>
    <row r="12" spans="1:3" ht="16.5" customHeight="1" x14ac:dyDescent="0.25">
      <c r="A12" s="21" t="s">
        <v>210</v>
      </c>
      <c r="B12" s="68" t="s">
        <v>246</v>
      </c>
      <c r="C12" s="112">
        <f>7134949+30000+270000+621-785-270000+31999+3000+200+2045-31000+3680+16000+2800+1000+1400+10000+77141+33227-100+300-7900+37600+2000-1203-98+1301+4800-2200-8600-10000-75</f>
        <v>7332102</v>
      </c>
    </row>
    <row r="13" spans="1:3" ht="16.5" customHeight="1" x14ac:dyDescent="0.25">
      <c r="A13" s="21" t="s">
        <v>212</v>
      </c>
      <c r="B13" s="68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8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8" t="s">
        <v>249</v>
      </c>
      <c r="C15" s="112">
        <f>3155600+1816900+320000+135000+320600+754727+25500+4500-10000-100000+23100+55240+21660</f>
        <v>6522827</v>
      </c>
    </row>
    <row r="16" spans="1:3" ht="16.5" customHeight="1" x14ac:dyDescent="0.25">
      <c r="A16" s="21" t="s">
        <v>217</v>
      </c>
      <c r="B16" s="68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8" t="s">
        <v>251</v>
      </c>
      <c r="C17" s="112">
        <f>4084532+13000+1000-2830+2000+3000+8000+1725+15600+3000+8000+8000+12000+2300+3145-1000+15000+1000</f>
        <v>4177472</v>
      </c>
    </row>
    <row r="18" spans="1:8" ht="16.5" customHeight="1" x14ac:dyDescent="0.25">
      <c r="A18" s="21" t="s">
        <v>220</v>
      </c>
      <c r="B18" s="68" t="s">
        <v>252</v>
      </c>
      <c r="C18" s="112">
        <f>20545804+10559+40334+8640+20460+6749-7900+270000+418024+60310+220153+11000+80661-76400+170900+196000+4890+20000+310-60208-6800+1000+32153-1200+2500+4700+34600+7000+3850+1800</f>
        <v>22019889</v>
      </c>
    </row>
    <row r="19" spans="1:8" ht="16.5" customHeight="1" x14ac:dyDescent="0.25">
      <c r="A19" s="21" t="s">
        <v>222</v>
      </c>
      <c r="B19" s="68" t="s">
        <v>269</v>
      </c>
      <c r="C19" s="112">
        <f>10107124+100000+445+53170+719+545+4444+6750+50000+27583-39216+2042+12690+240784+140000+13200+6300-2045-3770-90580+1700+24000-39000-19100+9814+3132+12253+2664+12800+14500-4500-8300+11000-30080-4902-4500-3145+5000-4800-4400-160000+16000+44900+65000-2500+2899+12063+1700-15000+15000-1800</f>
        <v>10582583</v>
      </c>
    </row>
    <row r="20" spans="1:8" s="4" customFormat="1" ht="16.5" customHeight="1" x14ac:dyDescent="0.25">
      <c r="A20" s="18" t="s">
        <v>48</v>
      </c>
      <c r="B20" s="93" t="s">
        <v>490</v>
      </c>
      <c r="C20" s="20">
        <f>SUM(C21:C28)</f>
        <v>55155888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</f>
        <v>30161238</v>
      </c>
    </row>
    <row r="22" spans="1:8" ht="31.2" x14ac:dyDescent="0.25">
      <c r="A22" s="21" t="s">
        <v>43</v>
      </c>
      <c r="B22" s="22" t="s">
        <v>492</v>
      </c>
      <c r="C22" s="112">
        <f>4213604-9600+143000+1700-39000-19200+2000+25500+5000+1301</f>
        <v>4324305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2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112">
        <f>808457+53170+719+545+4444+6750+8640+10825+4775+27583+6749-40001+2042+12690+163000+96950+13400+6300-28000+11000+80661+3132+12253+2664+13100-31283-5000+12063+2899-2575</f>
        <v>1257952</v>
      </c>
    </row>
    <row r="26" spans="1:8" ht="32.25" customHeight="1" x14ac:dyDescent="0.25">
      <c r="A26" s="21" t="s">
        <v>47</v>
      </c>
      <c r="B26" s="22" t="s">
        <v>496</v>
      </c>
      <c r="C26" s="112">
        <f>2701170+20460+13000+1000+621+2000+60310-3770-90580+3000+8000-51308-1200+110000+7000+3850+1000-8600-2200</f>
        <v>2773753</v>
      </c>
      <c r="H26" s="118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7"/>
    </row>
    <row r="30" spans="1:8" ht="15.6" x14ac:dyDescent="0.25">
      <c r="B30" s="67"/>
      <c r="C30" s="88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T258"/>
  <sheetViews>
    <sheetView workbookViewId="0">
      <pane ySplit="10" topLeftCell="A11" activePane="bottomLeft" state="frozen"/>
      <selection pane="bottomLeft" activeCell="S14" sqref="S14"/>
    </sheetView>
  </sheetViews>
  <sheetFormatPr defaultColWidth="9.109375" defaultRowHeight="15" customHeight="1" x14ac:dyDescent="0.25"/>
  <cols>
    <col min="1" max="1" width="6.33203125" style="73" customWidth="1"/>
    <col min="2" max="2" width="57.109375" style="74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10.44140625" style="61" customWidth="1"/>
    <col min="17" max="17" width="10.109375" style="15" bestFit="1" customWidth="1"/>
    <col min="18" max="16384" width="9.109375" style="15"/>
  </cols>
  <sheetData>
    <row r="1" spans="1:17" s="2" customFormat="1" ht="11.25" customHeight="1" x14ac:dyDescent="0.3">
      <c r="A1" s="40"/>
      <c r="B1" s="32"/>
      <c r="C1" s="1"/>
      <c r="F1" s="1"/>
      <c r="I1" s="1"/>
      <c r="J1" s="1"/>
      <c r="K1" s="1"/>
      <c r="L1" s="1"/>
      <c r="P1" s="17"/>
    </row>
    <row r="2" spans="1:17" s="2" customFormat="1" ht="15" customHeight="1" x14ac:dyDescent="0.3">
      <c r="A2" s="40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</row>
    <row r="3" spans="1:17" s="2" customFormat="1" ht="15" customHeight="1" x14ac:dyDescent="0.3">
      <c r="A3" s="40"/>
      <c r="B3" s="32"/>
      <c r="C3" s="1"/>
      <c r="F3" s="1"/>
      <c r="I3" s="2" t="s">
        <v>438</v>
      </c>
      <c r="J3" s="2" t="s">
        <v>438</v>
      </c>
      <c r="P3" s="17"/>
    </row>
    <row r="4" spans="1:17" s="2" customFormat="1" ht="15" customHeight="1" x14ac:dyDescent="0.3">
      <c r="A4" s="40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</row>
    <row r="5" spans="1:17" s="2" customFormat="1" ht="15" customHeight="1" x14ac:dyDescent="0.3">
      <c r="A5" s="40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</row>
    <row r="6" spans="1:17" s="2" customFormat="1" ht="12.75" customHeight="1" x14ac:dyDescent="0.3">
      <c r="A6" s="40"/>
      <c r="B6" s="32"/>
      <c r="C6" s="1"/>
      <c r="F6" s="1"/>
      <c r="I6" s="1"/>
      <c r="J6" s="1"/>
      <c r="L6" s="1"/>
      <c r="P6" s="17"/>
    </row>
    <row r="7" spans="1:17" s="2" customFormat="1" ht="15" customHeight="1" x14ac:dyDescent="0.3">
      <c r="A7" s="40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</row>
    <row r="8" spans="1:17" s="2" customFormat="1" ht="11.25" customHeight="1" x14ac:dyDescent="0.3">
      <c r="A8" s="40"/>
      <c r="B8" s="69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</row>
    <row r="9" spans="1:17" s="70" customFormat="1" ht="71.25" customHeight="1" x14ac:dyDescent="0.25">
      <c r="A9" s="79" t="s">
        <v>19</v>
      </c>
      <c r="B9" s="79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79" t="s">
        <v>21</v>
      </c>
      <c r="P9" s="55"/>
    </row>
    <row r="10" spans="1:17" s="4" customFormat="1" ht="14.25" customHeight="1" x14ac:dyDescent="0.25">
      <c r="A10" s="3">
        <v>1</v>
      </c>
      <c r="B10" s="71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6"/>
    </row>
    <row r="11" spans="1:17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</row>
    <row r="12" spans="1:17" s="6" customFormat="1" ht="15.75" customHeight="1" x14ac:dyDescent="0.25">
      <c r="A12" s="27"/>
      <c r="B12" s="41" t="s">
        <v>27</v>
      </c>
      <c r="C12" s="37">
        <f t="shared" ref="C12:N12" si="0">C13+C14+C33+C36</f>
        <v>5558278</v>
      </c>
      <c r="D12" s="37">
        <f t="shared" si="0"/>
        <v>4160950</v>
      </c>
      <c r="E12" s="37">
        <f t="shared" si="0"/>
        <v>0</v>
      </c>
      <c r="F12" s="37">
        <f t="shared" si="0"/>
        <v>556933</v>
      </c>
      <c r="G12" s="37">
        <f t="shared" si="0"/>
        <v>504427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103227</v>
      </c>
      <c r="M12" s="37">
        <f t="shared" si="0"/>
        <v>15000</v>
      </c>
      <c r="N12" s="37">
        <f t="shared" si="0"/>
        <v>0</v>
      </c>
      <c r="O12" s="27">
        <f>C12+F12+I12+L12</f>
        <v>6218438</v>
      </c>
      <c r="P12" s="57"/>
      <c r="Q12" s="57"/>
    </row>
    <row r="13" spans="1:17" s="5" customFormat="1" ht="15.75" customHeight="1" x14ac:dyDescent="0.3">
      <c r="A13" s="27" t="s">
        <v>49</v>
      </c>
      <c r="B13" s="41" t="s">
        <v>171</v>
      </c>
      <c r="C13" s="37">
        <v>69600</v>
      </c>
      <c r="D13" s="37">
        <v>66550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27">
        <f t="shared" ref="O13:O36" si="1">C13+F13+I13+L13</f>
        <v>69600</v>
      </c>
      <c r="P13" s="17"/>
    </row>
    <row r="14" spans="1:17" s="5" customFormat="1" ht="16.5" customHeight="1" x14ac:dyDescent="0.3">
      <c r="A14" s="27" t="s">
        <v>48</v>
      </c>
      <c r="B14" s="41" t="s">
        <v>521</v>
      </c>
      <c r="C14" s="37">
        <f t="shared" ref="C14:N14" si="2">SUM(C15:C32)</f>
        <v>4933578</v>
      </c>
      <c r="D14" s="37">
        <f t="shared" si="2"/>
        <v>4094400</v>
      </c>
      <c r="E14" s="37">
        <f t="shared" si="2"/>
        <v>0</v>
      </c>
      <c r="F14" s="37">
        <f t="shared" si="2"/>
        <v>556933</v>
      </c>
      <c r="G14" s="37">
        <f t="shared" si="2"/>
        <v>504427</v>
      </c>
      <c r="H14" s="37">
        <f t="shared" si="2"/>
        <v>0</v>
      </c>
      <c r="I14" s="37">
        <f t="shared" si="2"/>
        <v>0</v>
      </c>
      <c r="J14" s="37">
        <f t="shared" si="2"/>
        <v>0</v>
      </c>
      <c r="K14" s="37">
        <f t="shared" si="2"/>
        <v>0</v>
      </c>
      <c r="L14" s="37">
        <f t="shared" si="2"/>
        <v>103227</v>
      </c>
      <c r="M14" s="37">
        <f t="shared" si="2"/>
        <v>15000</v>
      </c>
      <c r="N14" s="37">
        <f t="shared" si="2"/>
        <v>0</v>
      </c>
      <c r="O14" s="27">
        <f t="shared" si="1"/>
        <v>5593738</v>
      </c>
      <c r="P14" s="17"/>
    </row>
    <row r="15" spans="1:17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</row>
    <row r="16" spans="1:17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</row>
    <row r="17" spans="1:16" s="2" customFormat="1" ht="15.75" customHeight="1" x14ac:dyDescent="0.3">
      <c r="A17" s="28" t="s">
        <v>44</v>
      </c>
      <c r="B17" s="33" t="s">
        <v>443</v>
      </c>
      <c r="C17" s="115">
        <f>2833700+5000+40830+77141+33227+7800</f>
        <v>2997698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3044698</v>
      </c>
      <c r="P17" s="17"/>
    </row>
    <row r="18" spans="1:16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5">
        <f>520454-2000-600-4600+3000-100+2000+4726+74+1301-74-1</f>
        <v>524180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524180</v>
      </c>
      <c r="P18" s="17"/>
    </row>
    <row r="19" spans="1:16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</row>
    <row r="20" spans="1:16" s="2" customFormat="1" ht="15.75" customHeight="1" x14ac:dyDescent="0.3">
      <c r="A20" s="30" t="s">
        <v>47</v>
      </c>
      <c r="B20" s="33" t="s">
        <v>89</v>
      </c>
      <c r="C20" s="115">
        <f>127500-8000</f>
        <v>119500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121800</v>
      </c>
      <c r="P20" s="17"/>
    </row>
    <row r="21" spans="1:16" s="2" customFormat="1" ht="15.75" customHeight="1" x14ac:dyDescent="0.3">
      <c r="A21" s="30" t="s">
        <v>62</v>
      </c>
      <c r="B21" s="33" t="s">
        <v>95</v>
      </c>
      <c r="C21" s="115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</row>
    <row r="22" spans="1:16" s="2" customFormat="1" ht="15.75" customHeight="1" x14ac:dyDescent="0.3">
      <c r="A22" s="30" t="s">
        <v>63</v>
      </c>
      <c r="B22" s="33" t="s">
        <v>96</v>
      </c>
      <c r="C22" s="115">
        <f>72900+2800-2600</f>
        <v>73100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75330</v>
      </c>
      <c r="P22" s="17"/>
    </row>
    <row r="23" spans="1:16" s="1" customFormat="1" ht="15.75" customHeight="1" x14ac:dyDescent="0.3">
      <c r="A23" s="30" t="s">
        <v>64</v>
      </c>
      <c r="B23" s="33" t="s">
        <v>97</v>
      </c>
      <c r="C23" s="115">
        <f>120700+4300</f>
        <v>125000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125621</v>
      </c>
      <c r="P23" s="17"/>
    </row>
    <row r="24" spans="1:16" s="2" customFormat="1" ht="15.75" customHeight="1" x14ac:dyDescent="0.3">
      <c r="A24" s="30" t="s">
        <v>65</v>
      </c>
      <c r="B24" s="33" t="s">
        <v>98</v>
      </c>
      <c r="C24" s="115">
        <f>162700+3680+10000+4550</f>
        <v>180930</v>
      </c>
      <c r="D24" s="29">
        <v>124000</v>
      </c>
      <c r="E24" s="29"/>
      <c r="F24" s="29"/>
      <c r="G24" s="29"/>
      <c r="H24" s="29"/>
      <c r="I24" s="29"/>
      <c r="J24" s="29"/>
      <c r="K24" s="29"/>
      <c r="L24" s="115">
        <f>7000+40000-2200-8600</f>
        <v>36200</v>
      </c>
      <c r="M24" s="29">
        <v>15000</v>
      </c>
      <c r="N24" s="29"/>
      <c r="O24" s="27">
        <f t="shared" si="1"/>
        <v>217130</v>
      </c>
      <c r="P24" s="17"/>
    </row>
    <row r="25" spans="1:16" s="2" customFormat="1" ht="15.75" customHeight="1" x14ac:dyDescent="0.3">
      <c r="A25" s="30" t="s">
        <v>66</v>
      </c>
      <c r="B25" s="33" t="s">
        <v>99</v>
      </c>
      <c r="C25" s="115">
        <f>121800+1000+5300</f>
        <v>128100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132350</v>
      </c>
      <c r="P25" s="17"/>
    </row>
    <row r="26" spans="1:16" s="2" customFormat="1" ht="15.75" customHeight="1" x14ac:dyDescent="0.3">
      <c r="A26" s="30" t="s">
        <v>86</v>
      </c>
      <c r="B26" s="33" t="s">
        <v>100</v>
      </c>
      <c r="C26" s="115">
        <f>100900+1000</f>
        <v>101900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102220</v>
      </c>
      <c r="P26" s="17"/>
    </row>
    <row r="27" spans="1:16" s="2" customFormat="1" ht="15.75" customHeight="1" x14ac:dyDescent="0.3">
      <c r="A27" s="30" t="s">
        <v>87</v>
      </c>
      <c r="B27" s="33" t="s">
        <v>101</v>
      </c>
      <c r="C27" s="115">
        <f>119800-8300</f>
        <v>111500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111500</v>
      </c>
      <c r="P27" s="17"/>
    </row>
    <row r="28" spans="1:16" s="2" customFormat="1" ht="15.75" customHeight="1" x14ac:dyDescent="0.3">
      <c r="A28" s="30" t="s">
        <v>88</v>
      </c>
      <c r="B28" s="33" t="s">
        <v>102</v>
      </c>
      <c r="C28" s="115">
        <f>117100+1400-10800</f>
        <v>107700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110100</v>
      </c>
      <c r="P28" s="17"/>
    </row>
    <row r="29" spans="1:16" s="2" customFormat="1" ht="15.75" customHeight="1" x14ac:dyDescent="0.3">
      <c r="A29" s="30" t="s">
        <v>106</v>
      </c>
      <c r="B29" s="33" t="s">
        <v>103</v>
      </c>
      <c r="C29" s="115">
        <f>134800+2020</f>
        <v>136820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143390</v>
      </c>
      <c r="P29" s="17"/>
    </row>
    <row r="30" spans="1:16" s="2" customFormat="1" ht="15.75" customHeight="1" x14ac:dyDescent="0.3">
      <c r="A30" s="30" t="s">
        <v>107</v>
      </c>
      <c r="B30" s="33" t="s">
        <v>104</v>
      </c>
      <c r="C30" s="115">
        <f>115500-5000+3000</f>
        <v>113500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114836</v>
      </c>
      <c r="P30" s="17"/>
    </row>
    <row r="31" spans="1:16" s="2" customFormat="1" ht="15.75" customHeight="1" x14ac:dyDescent="0.3">
      <c r="A31" s="30" t="s">
        <v>108</v>
      </c>
      <c r="B31" s="59" t="s">
        <v>105</v>
      </c>
      <c r="C31" s="115">
        <f>110600+1730</f>
        <v>112330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112330</v>
      </c>
      <c r="P31" s="17"/>
    </row>
    <row r="32" spans="1:16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</row>
    <row r="33" spans="1:16" s="9" customFormat="1" ht="15" customHeight="1" x14ac:dyDescent="0.25">
      <c r="A33" s="27" t="s">
        <v>50</v>
      </c>
      <c r="B33" s="41" t="s">
        <v>23</v>
      </c>
      <c r="C33" s="27">
        <f>SUM(C34:C35)</f>
        <v>233400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233400</v>
      </c>
      <c r="P33" s="57"/>
    </row>
    <row r="34" spans="1:16" s="7" customFormat="1" ht="15.75" customHeight="1" x14ac:dyDescent="0.25">
      <c r="A34" s="43" t="s">
        <v>67</v>
      </c>
      <c r="B34" s="44" t="s">
        <v>354</v>
      </c>
      <c r="C34" s="113">
        <f>200000-5600-31000-10000</f>
        <v>153400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153400</v>
      </c>
      <c r="P34" s="57"/>
    </row>
    <row r="35" spans="1:16" s="7" customFormat="1" ht="44.25" customHeight="1" x14ac:dyDescent="0.25">
      <c r="A35" s="43" t="s">
        <v>233</v>
      </c>
      <c r="B35" s="44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7"/>
    </row>
    <row r="36" spans="1:16" s="9" customFormat="1" ht="15.75" customHeight="1" x14ac:dyDescent="0.25">
      <c r="A36" s="27" t="s">
        <v>51</v>
      </c>
      <c r="B36" s="41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7"/>
    </row>
    <row r="37" spans="1:16" s="7" customFormat="1" ht="15.75" customHeight="1" x14ac:dyDescent="0.25">
      <c r="A37" s="43" t="s">
        <v>38</v>
      </c>
      <c r="B37" s="44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7"/>
    </row>
    <row r="38" spans="1:16" s="7" customFormat="1" ht="45" customHeight="1" x14ac:dyDescent="0.25">
      <c r="A38" s="43" t="s">
        <v>39</v>
      </c>
      <c r="B38" s="44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7"/>
    </row>
    <row r="39" spans="1:16" s="7" customFormat="1" ht="28.5" hidden="1" customHeight="1" x14ac:dyDescent="0.25">
      <c r="A39" s="43" t="s">
        <v>355</v>
      </c>
      <c r="B39" s="44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7"/>
    </row>
    <row r="40" spans="1:16" s="1" customFormat="1" ht="16.5" customHeight="1" x14ac:dyDescent="0.3">
      <c r="A40" s="45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</row>
    <row r="41" spans="1:16" s="7" customFormat="1" ht="15.75" customHeight="1" x14ac:dyDescent="0.25">
      <c r="A41" s="29"/>
      <c r="B41" s="41" t="s">
        <v>27</v>
      </c>
      <c r="C41" s="37">
        <f>C42</f>
        <v>55000</v>
      </c>
      <c r="D41" s="37">
        <f t="shared" ref="D41:N41" si="5">D42</f>
        <v>0</v>
      </c>
      <c r="E41" s="37">
        <f t="shared" si="5"/>
        <v>0</v>
      </c>
      <c r="F41" s="37">
        <f t="shared" si="5"/>
        <v>1817000</v>
      </c>
      <c r="G41" s="37">
        <f t="shared" si="5"/>
        <v>0</v>
      </c>
      <c r="H41" s="37">
        <f t="shared" si="5"/>
        <v>0</v>
      </c>
      <c r="I41" s="37">
        <f t="shared" si="5"/>
        <v>0</v>
      </c>
      <c r="J41" s="37"/>
      <c r="K41" s="37">
        <f t="shared" si="5"/>
        <v>0</v>
      </c>
      <c r="L41" s="37">
        <f t="shared" si="5"/>
        <v>0</v>
      </c>
      <c r="M41" s="37">
        <f t="shared" si="5"/>
        <v>0</v>
      </c>
      <c r="N41" s="37">
        <f t="shared" si="5"/>
        <v>0</v>
      </c>
      <c r="O41" s="27">
        <f t="shared" ref="O41:O46" si="6">C41+F41+I41+L41</f>
        <v>1872000</v>
      </c>
      <c r="P41" s="57"/>
    </row>
    <row r="42" spans="1:16" s="7" customFormat="1" ht="15.75" customHeight="1" x14ac:dyDescent="0.25">
      <c r="A42" s="27" t="s">
        <v>52</v>
      </c>
      <c r="B42" s="41" t="s">
        <v>34</v>
      </c>
      <c r="C42" s="37">
        <f>SUM(C44,C45)</f>
        <v>55000</v>
      </c>
      <c r="D42" s="37">
        <f>SUM(D45)</f>
        <v>0</v>
      </c>
      <c r="E42" s="37">
        <f>SUM(E45)</f>
        <v>0</v>
      </c>
      <c r="F42" s="37">
        <f>SUM(F43,F46)</f>
        <v>1817000</v>
      </c>
      <c r="G42" s="37">
        <f t="shared" ref="G42:N42" si="7">SUM(G43)</f>
        <v>0</v>
      </c>
      <c r="H42" s="37">
        <f t="shared" si="7"/>
        <v>0</v>
      </c>
      <c r="I42" s="37">
        <f t="shared" si="7"/>
        <v>0</v>
      </c>
      <c r="J42" s="37"/>
      <c r="K42" s="37">
        <f t="shared" si="7"/>
        <v>0</v>
      </c>
      <c r="L42" s="37">
        <f t="shared" si="7"/>
        <v>0</v>
      </c>
      <c r="M42" s="37">
        <f t="shared" si="7"/>
        <v>0</v>
      </c>
      <c r="N42" s="37">
        <f t="shared" si="7"/>
        <v>0</v>
      </c>
      <c r="O42" s="27">
        <f t="shared" si="6"/>
        <v>1872000</v>
      </c>
      <c r="P42" s="57"/>
    </row>
    <row r="43" spans="1:16" s="11" customFormat="1" ht="15.75" customHeight="1" x14ac:dyDescent="0.25">
      <c r="A43" s="43" t="s">
        <v>40</v>
      </c>
      <c r="B43" s="44" t="s">
        <v>150</v>
      </c>
      <c r="C43" s="44"/>
      <c r="D43" s="44"/>
      <c r="E43" s="44"/>
      <c r="F43" s="36">
        <v>259000</v>
      </c>
      <c r="G43" s="36"/>
      <c r="H43" s="36"/>
      <c r="I43" s="44"/>
      <c r="J43" s="44"/>
      <c r="K43" s="44"/>
      <c r="L43" s="44"/>
      <c r="M43" s="44"/>
      <c r="N43" s="44"/>
      <c r="O43" s="27">
        <f t="shared" si="6"/>
        <v>259000</v>
      </c>
      <c r="P43" s="57"/>
    </row>
    <row r="44" spans="1:16" s="11" customFormat="1" ht="15.75" customHeight="1" x14ac:dyDescent="0.25">
      <c r="A44" s="43" t="s">
        <v>41</v>
      </c>
      <c r="B44" s="44" t="s">
        <v>185</v>
      </c>
      <c r="C44" s="36">
        <v>15000</v>
      </c>
      <c r="D44" s="44"/>
      <c r="E44" s="44"/>
      <c r="F44" s="36"/>
      <c r="G44" s="36"/>
      <c r="H44" s="36"/>
      <c r="I44" s="44"/>
      <c r="J44" s="44"/>
      <c r="K44" s="44"/>
      <c r="L44" s="44"/>
      <c r="M44" s="44"/>
      <c r="N44" s="44"/>
      <c r="O44" s="27">
        <f t="shared" si="6"/>
        <v>15000</v>
      </c>
      <c r="P44" s="57"/>
    </row>
    <row r="45" spans="1:16" s="2" customFormat="1" ht="15.75" customHeight="1" x14ac:dyDescent="0.3">
      <c r="A45" s="80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</row>
    <row r="46" spans="1:16" s="2" customFormat="1" ht="28.5" customHeight="1" x14ac:dyDescent="0.3">
      <c r="A46" s="43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</row>
    <row r="47" spans="1:16" s="2" customFormat="1" ht="32.25" customHeight="1" x14ac:dyDescent="0.3">
      <c r="A47" s="46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</row>
    <row r="48" spans="1:16" s="7" customFormat="1" ht="15.75" customHeight="1" x14ac:dyDescent="0.25">
      <c r="A48" s="29"/>
      <c r="B48" s="41" t="s">
        <v>27</v>
      </c>
      <c r="C48" s="37">
        <f t="shared" ref="C48:N48" si="8">C49+C53</f>
        <v>100200</v>
      </c>
      <c r="D48" s="37">
        <f t="shared" si="8"/>
        <v>65000</v>
      </c>
      <c r="E48" s="37">
        <f t="shared" si="8"/>
        <v>0</v>
      </c>
      <c r="F48" s="37">
        <f t="shared" si="8"/>
        <v>0</v>
      </c>
      <c r="G48" s="37">
        <f t="shared" si="8"/>
        <v>0</v>
      </c>
      <c r="H48" s="37">
        <f t="shared" si="8"/>
        <v>0</v>
      </c>
      <c r="I48" s="37">
        <f t="shared" si="8"/>
        <v>0</v>
      </c>
      <c r="J48" s="37">
        <f t="shared" si="8"/>
        <v>0</v>
      </c>
      <c r="K48" s="37">
        <f t="shared" si="8"/>
        <v>0</v>
      </c>
      <c r="L48" s="37">
        <f t="shared" si="8"/>
        <v>8610</v>
      </c>
      <c r="M48" s="37">
        <f t="shared" si="8"/>
        <v>8460</v>
      </c>
      <c r="N48" s="37">
        <f t="shared" si="8"/>
        <v>0</v>
      </c>
      <c r="O48" s="37">
        <f>C48+L48</f>
        <v>108810</v>
      </c>
      <c r="P48" s="57"/>
    </row>
    <row r="49" spans="1:20" s="2" customFormat="1" ht="15.75" customHeight="1" x14ac:dyDescent="0.3">
      <c r="A49" s="27" t="s">
        <v>53</v>
      </c>
      <c r="B49" s="41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</row>
    <row r="50" spans="1:20" s="2" customFormat="1" ht="15.75" customHeight="1" x14ac:dyDescent="0.3">
      <c r="A50" s="43" t="s">
        <v>68</v>
      </c>
      <c r="B50" s="47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</row>
    <row r="51" spans="1:20" s="2" customFormat="1" ht="15.75" customHeight="1" x14ac:dyDescent="0.3">
      <c r="A51" s="28" t="s">
        <v>186</v>
      </c>
      <c r="B51" s="47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</row>
    <row r="52" spans="1:20" s="2" customFormat="1" ht="15.75" customHeight="1" x14ac:dyDescent="0.3">
      <c r="A52" s="63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</row>
    <row r="53" spans="1:20" s="2" customFormat="1" ht="29.25" customHeight="1" x14ac:dyDescent="0.3">
      <c r="A53" s="27" t="s">
        <v>54</v>
      </c>
      <c r="B53" s="41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S53" s="54"/>
      <c r="T53" s="54"/>
    </row>
    <row r="54" spans="1:20" s="2" customFormat="1" ht="15.75" customHeight="1" x14ac:dyDescent="0.3">
      <c r="A54" s="43" t="s">
        <v>69</v>
      </c>
      <c r="B54" s="47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S54" s="54"/>
      <c r="T54" s="54"/>
    </row>
    <row r="55" spans="1:20" s="1" customFormat="1" ht="29.25" customHeight="1" x14ac:dyDescent="0.3">
      <c r="A55" s="45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</row>
    <row r="56" spans="1:20" s="7" customFormat="1" ht="15.75" customHeight="1" x14ac:dyDescent="0.25">
      <c r="A56" s="29"/>
      <c r="B56" s="41" t="s">
        <v>27</v>
      </c>
      <c r="C56" s="37">
        <f t="shared" ref="C56:N56" si="12">C57+C87</f>
        <v>2646500</v>
      </c>
      <c r="D56" s="37">
        <f t="shared" si="12"/>
        <v>28345</v>
      </c>
      <c r="E56" s="37">
        <f t="shared" si="12"/>
        <v>0</v>
      </c>
      <c r="F56" s="37">
        <f t="shared" si="12"/>
        <v>1604427</v>
      </c>
      <c r="G56" s="37">
        <f t="shared" si="12"/>
        <v>733435</v>
      </c>
      <c r="H56" s="37">
        <f t="shared" si="12"/>
        <v>0</v>
      </c>
      <c r="I56" s="37">
        <f t="shared" si="12"/>
        <v>1816900</v>
      </c>
      <c r="J56" s="37">
        <f t="shared" si="12"/>
        <v>0</v>
      </c>
      <c r="K56" s="37">
        <f t="shared" si="12"/>
        <v>0</v>
      </c>
      <c r="L56" s="37">
        <f t="shared" si="12"/>
        <v>0</v>
      </c>
      <c r="M56" s="37">
        <f t="shared" si="12"/>
        <v>0</v>
      </c>
      <c r="N56" s="37">
        <f t="shared" si="12"/>
        <v>0</v>
      </c>
      <c r="O56" s="27">
        <f>C56+F56+I56+L56</f>
        <v>6067827</v>
      </c>
      <c r="P56" s="57"/>
    </row>
    <row r="57" spans="1:20" s="7" customFormat="1" ht="15.75" customHeight="1" x14ac:dyDescent="0.25">
      <c r="A57" s="27" t="s">
        <v>55</v>
      </c>
      <c r="B57" s="41" t="s">
        <v>34</v>
      </c>
      <c r="C57" s="37">
        <f>SUM(C58:C72,C85)+C86</f>
        <v>2573500</v>
      </c>
      <c r="D57" s="37">
        <f t="shared" ref="D57:K57" si="13">SUM(D58:D72,D85)</f>
        <v>0</v>
      </c>
      <c r="E57" s="37">
        <f t="shared" si="13"/>
        <v>0</v>
      </c>
      <c r="F57" s="37">
        <f>SUM(F58:F72,F85)+F86</f>
        <v>754727</v>
      </c>
      <c r="G57" s="37">
        <f t="shared" si="13"/>
        <v>0</v>
      </c>
      <c r="H57" s="37">
        <f t="shared" si="13"/>
        <v>0</v>
      </c>
      <c r="I57" s="37">
        <f>SUM(I58:I72,I85)+I86</f>
        <v>1816900</v>
      </c>
      <c r="J57" s="37">
        <f t="shared" si="13"/>
        <v>0</v>
      </c>
      <c r="K57" s="37">
        <f t="shared" si="13"/>
        <v>0</v>
      </c>
      <c r="L57" s="37">
        <f>SUM(L58:L72,L85)+L86</f>
        <v>0</v>
      </c>
      <c r="M57" s="37">
        <f>SUM(M58:M72)</f>
        <v>0</v>
      </c>
      <c r="N57" s="37">
        <f>SUM(N58:N72)</f>
        <v>0</v>
      </c>
      <c r="O57" s="27">
        <f t="shared" ref="O57:O83" si="14">C57+F57+I57+L57</f>
        <v>5145127</v>
      </c>
      <c r="P57" s="57"/>
    </row>
    <row r="58" spans="1:20" s="2" customFormat="1" ht="45" customHeight="1" x14ac:dyDescent="0.3">
      <c r="A58" s="43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</row>
    <row r="59" spans="1:20" s="11" customFormat="1" ht="15.75" customHeight="1" x14ac:dyDescent="0.25">
      <c r="A59" s="43" t="s">
        <v>71</v>
      </c>
      <c r="B59" s="44" t="s">
        <v>397</v>
      </c>
      <c r="C59" s="114">
        <f>75000+21660</f>
        <v>96660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7">
        <f t="shared" si="14"/>
        <v>96660</v>
      </c>
      <c r="P59" s="57"/>
    </row>
    <row r="60" spans="1:20" s="2" customFormat="1" ht="30" customHeight="1" x14ac:dyDescent="0.3">
      <c r="A60" s="43" t="s">
        <v>72</v>
      </c>
      <c r="B60" s="44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</row>
    <row r="61" spans="1:20" s="7" customFormat="1" ht="30" customHeight="1" x14ac:dyDescent="0.25">
      <c r="A61" s="43" t="s">
        <v>110</v>
      </c>
      <c r="B61" s="44" t="s">
        <v>265</v>
      </c>
      <c r="C61" s="120">
        <f>19000-10000</f>
        <v>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9000</v>
      </c>
      <c r="P61" s="57"/>
    </row>
    <row r="62" spans="1:20" s="7" customFormat="1" ht="13.8" x14ac:dyDescent="0.25">
      <c r="A62" s="43" t="s">
        <v>111</v>
      </c>
      <c r="B62" s="44" t="s">
        <v>574</v>
      </c>
      <c r="C62" s="113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7"/>
    </row>
    <row r="63" spans="1:20" s="2" customFormat="1" ht="15.75" customHeight="1" x14ac:dyDescent="0.3">
      <c r="A63" s="43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</row>
    <row r="64" spans="1:20" s="2" customFormat="1" ht="30.75" customHeight="1" x14ac:dyDescent="0.3">
      <c r="A64" s="43" t="s">
        <v>113</v>
      </c>
      <c r="B64" s="44" t="s">
        <v>448</v>
      </c>
      <c r="C64" s="113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</row>
    <row r="65" spans="1:20" s="7" customFormat="1" ht="15.75" customHeight="1" x14ac:dyDescent="0.25">
      <c r="A65" s="43" t="s">
        <v>114</v>
      </c>
      <c r="B65" s="44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7"/>
    </row>
    <row r="66" spans="1:20" s="11" customFormat="1" ht="29.25" customHeight="1" x14ac:dyDescent="0.25">
      <c r="A66" s="43" t="s">
        <v>115</v>
      </c>
      <c r="B66" s="44" t="s">
        <v>175</v>
      </c>
      <c r="C66" s="36">
        <f>290000+35000</f>
        <v>325000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7">
        <f t="shared" si="14"/>
        <v>325000</v>
      </c>
      <c r="P66" s="57"/>
    </row>
    <row r="67" spans="1:20" s="11" customFormat="1" ht="30" customHeight="1" x14ac:dyDescent="0.25">
      <c r="A67" s="43" t="s">
        <v>116</v>
      </c>
      <c r="B67" s="44" t="s">
        <v>349</v>
      </c>
      <c r="C67" s="114">
        <f>40000+10000+23100</f>
        <v>73100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7">
        <f t="shared" si="14"/>
        <v>73100</v>
      </c>
      <c r="P67" s="57"/>
    </row>
    <row r="68" spans="1:20" s="2" customFormat="1" ht="15.75" customHeight="1" x14ac:dyDescent="0.3">
      <c r="A68" s="43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</row>
    <row r="69" spans="1:20" s="2" customFormat="1" ht="15.75" customHeight="1" x14ac:dyDescent="0.3">
      <c r="A69" s="43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</row>
    <row r="70" spans="1:20" s="2" customFormat="1" ht="15.75" customHeight="1" x14ac:dyDescent="0.3">
      <c r="A70" s="43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</row>
    <row r="71" spans="1:20" s="2" customFormat="1" ht="16.5" customHeight="1" x14ac:dyDescent="0.3">
      <c r="A71" s="43" t="s">
        <v>400</v>
      </c>
      <c r="B71" s="59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P71" s="54"/>
      <c r="S71" s="54"/>
      <c r="T71" s="54"/>
    </row>
    <row r="72" spans="1:20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</row>
    <row r="73" spans="1:20" s="2" customFormat="1" ht="15.75" customHeight="1" x14ac:dyDescent="0.3">
      <c r="A73" s="43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</row>
    <row r="74" spans="1:20" s="2" customFormat="1" ht="15.75" customHeight="1" x14ac:dyDescent="0.3">
      <c r="A74" s="43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</row>
    <row r="75" spans="1:20" s="1" customFormat="1" ht="15.75" customHeight="1" x14ac:dyDescent="0.3">
      <c r="A75" s="43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</row>
    <row r="76" spans="1:20" s="2" customFormat="1" ht="15.75" customHeight="1" x14ac:dyDescent="0.3">
      <c r="A76" s="43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</row>
    <row r="77" spans="1:20" s="2" customFormat="1" ht="15.75" customHeight="1" x14ac:dyDescent="0.3">
      <c r="A77" s="43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</row>
    <row r="78" spans="1:20" s="2" customFormat="1" ht="15.75" customHeight="1" x14ac:dyDescent="0.3">
      <c r="A78" s="43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</row>
    <row r="79" spans="1:20" s="2" customFormat="1" ht="15.75" customHeight="1" x14ac:dyDescent="0.3">
      <c r="A79" s="43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</row>
    <row r="80" spans="1:20" s="2" customFormat="1" ht="15.75" customHeight="1" x14ac:dyDescent="0.3">
      <c r="A80" s="43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</row>
    <row r="81" spans="1:20" s="2" customFormat="1" ht="15.75" customHeight="1" x14ac:dyDescent="0.3">
      <c r="A81" s="48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</row>
    <row r="82" spans="1:20" s="2" customFormat="1" ht="15.75" customHeight="1" x14ac:dyDescent="0.3">
      <c r="A82" s="48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</row>
    <row r="83" spans="1:20" s="2" customFormat="1" ht="15.75" customHeight="1" x14ac:dyDescent="0.3">
      <c r="A83" s="43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</row>
    <row r="84" spans="1:20" s="7" customFormat="1" ht="15.75" customHeight="1" x14ac:dyDescent="0.25">
      <c r="A84" s="43" t="s">
        <v>412</v>
      </c>
      <c r="B84" s="44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7"/>
    </row>
    <row r="85" spans="1:20" s="2" customFormat="1" ht="30" customHeight="1" x14ac:dyDescent="0.3">
      <c r="A85" s="43" t="s">
        <v>413</v>
      </c>
      <c r="B85" s="59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P85" s="54"/>
      <c r="S85" s="54"/>
      <c r="T85" s="54"/>
    </row>
    <row r="86" spans="1:20" s="2" customFormat="1" ht="30" customHeight="1" x14ac:dyDescent="0.3">
      <c r="A86" s="43" t="s">
        <v>585</v>
      </c>
      <c r="B86" s="59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P86" s="54"/>
      <c r="S86" s="54"/>
      <c r="T86" s="54"/>
    </row>
    <row r="87" spans="1:20" s="2" customFormat="1" ht="15.75" customHeight="1" x14ac:dyDescent="0.3">
      <c r="A87" s="27" t="s">
        <v>56</v>
      </c>
      <c r="B87" s="49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</row>
    <row r="88" spans="1:20" s="1" customFormat="1" ht="31.5" customHeight="1" x14ac:dyDescent="0.3">
      <c r="A88" s="45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</row>
    <row r="89" spans="1:20" s="7" customFormat="1" ht="15.75" customHeight="1" x14ac:dyDescent="0.25">
      <c r="A89" s="29"/>
      <c r="B89" s="41" t="s">
        <v>27</v>
      </c>
      <c r="C89" s="37">
        <f>C90+C97+C108+C111</f>
        <v>372139</v>
      </c>
      <c r="D89" s="37">
        <f t="shared" ref="D89:N89" si="17">D90+D97+D108+D111</f>
        <v>0</v>
      </c>
      <c r="E89" s="37">
        <f t="shared" si="17"/>
        <v>0</v>
      </c>
      <c r="F89" s="37">
        <f>F90+F97+F108+F111+F92</f>
        <v>454902</v>
      </c>
      <c r="G89" s="37">
        <f t="shared" si="17"/>
        <v>200680</v>
      </c>
      <c r="H89" s="37">
        <f t="shared" si="17"/>
        <v>0</v>
      </c>
      <c r="I89" s="37">
        <f t="shared" si="17"/>
        <v>0</v>
      </c>
      <c r="J89" s="37">
        <f t="shared" si="17"/>
        <v>0</v>
      </c>
      <c r="K89" s="37">
        <f t="shared" si="17"/>
        <v>0</v>
      </c>
      <c r="L89" s="37">
        <f t="shared" si="17"/>
        <v>1638164</v>
      </c>
      <c r="M89" s="37">
        <f t="shared" si="17"/>
        <v>0</v>
      </c>
      <c r="N89" s="37">
        <f t="shared" si="17"/>
        <v>0</v>
      </c>
      <c r="O89" s="37">
        <f>C89+F89+I89+L89</f>
        <v>2465205</v>
      </c>
      <c r="P89" s="57"/>
    </row>
    <row r="90" spans="1:20" s="7" customFormat="1" ht="30" customHeight="1" x14ac:dyDescent="0.25">
      <c r="A90" s="27" t="s">
        <v>57</v>
      </c>
      <c r="B90" s="41" t="s">
        <v>207</v>
      </c>
      <c r="C90" s="37">
        <f>SUM(C91,C94,C93,C96)</f>
        <v>0</v>
      </c>
      <c r="D90" s="37">
        <f t="shared" ref="D90:K90" si="18">SUM(D91,D94,D93,D96)</f>
        <v>0</v>
      </c>
      <c r="E90" s="37">
        <f t="shared" si="18"/>
        <v>0</v>
      </c>
      <c r="F90" s="37">
        <f t="shared" si="18"/>
        <v>0</v>
      </c>
      <c r="G90" s="37">
        <f t="shared" si="18"/>
        <v>0</v>
      </c>
      <c r="H90" s="37">
        <f t="shared" si="18"/>
        <v>0</v>
      </c>
      <c r="I90" s="37">
        <f t="shared" si="18"/>
        <v>0</v>
      </c>
      <c r="J90" s="37"/>
      <c r="K90" s="37">
        <f t="shared" si="18"/>
        <v>0</v>
      </c>
      <c r="L90" s="37">
        <f>SUM(L91:L96)</f>
        <v>289396</v>
      </c>
      <c r="M90" s="37">
        <f>SUM(M91:M96)</f>
        <v>0</v>
      </c>
      <c r="N90" s="37">
        <f>SUM(N91:N96)</f>
        <v>0</v>
      </c>
      <c r="O90" s="27">
        <f t="shared" ref="O90:O112" si="19">C90+F90+I90+L90</f>
        <v>289396</v>
      </c>
      <c r="P90" s="57"/>
    </row>
    <row r="91" spans="1:20" s="11" customFormat="1" ht="15.75" customHeight="1" x14ac:dyDescent="0.25">
      <c r="A91" s="43" t="s">
        <v>73</v>
      </c>
      <c r="B91" s="44" t="s">
        <v>178</v>
      </c>
      <c r="C91" s="36"/>
      <c r="D91" s="36"/>
      <c r="E91" s="36"/>
      <c r="F91" s="36"/>
      <c r="G91" s="36"/>
      <c r="H91" s="36"/>
      <c r="I91" s="36"/>
      <c r="J91" s="36"/>
      <c r="K91" s="36"/>
      <c r="L91" s="36">
        <f>25000+10000</f>
        <v>35000</v>
      </c>
      <c r="M91" s="36"/>
      <c r="N91" s="36"/>
      <c r="O91" s="27">
        <f t="shared" si="19"/>
        <v>35000</v>
      </c>
      <c r="P91" s="57"/>
    </row>
    <row r="92" spans="1:20" s="11" customFormat="1" ht="29.25" customHeight="1" x14ac:dyDescent="0.25">
      <c r="A92" s="50" t="s">
        <v>74</v>
      </c>
      <c r="B92" s="44" t="s">
        <v>451</v>
      </c>
      <c r="C92" s="72"/>
      <c r="D92" s="72"/>
      <c r="E92" s="72"/>
      <c r="F92" s="72">
        <f>10825+4775</f>
        <v>15600</v>
      </c>
      <c r="G92" s="72"/>
      <c r="H92" s="72"/>
      <c r="I92" s="72"/>
      <c r="J92" s="72"/>
      <c r="K92" s="72"/>
      <c r="L92" s="72">
        <f>63790+35334-2900-1500-10000</f>
        <v>84724</v>
      </c>
      <c r="M92" s="72"/>
      <c r="N92" s="72"/>
      <c r="O92" s="27">
        <f t="shared" si="19"/>
        <v>100324</v>
      </c>
      <c r="P92" s="57"/>
    </row>
    <row r="93" spans="1:20" s="8" customFormat="1" ht="15.75" customHeight="1" x14ac:dyDescent="0.25">
      <c r="A93" s="50" t="s">
        <v>75</v>
      </c>
      <c r="B93" s="51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6"/>
    </row>
    <row r="94" spans="1:20" s="11" customFormat="1" ht="30" customHeight="1" x14ac:dyDescent="0.25">
      <c r="A94" s="43" t="s">
        <v>119</v>
      </c>
      <c r="B94" s="44" t="s">
        <v>452</v>
      </c>
      <c r="C94" s="36"/>
      <c r="D94" s="36"/>
      <c r="E94" s="36"/>
      <c r="F94" s="36"/>
      <c r="G94" s="36"/>
      <c r="H94" s="36"/>
      <c r="I94" s="36"/>
      <c r="J94" s="36"/>
      <c r="K94" s="36"/>
      <c r="L94" s="36">
        <f>55000+75272</f>
        <v>130272</v>
      </c>
      <c r="M94" s="36"/>
      <c r="N94" s="36"/>
      <c r="O94" s="27">
        <f t="shared" si="19"/>
        <v>130272</v>
      </c>
      <c r="P94" s="57"/>
    </row>
    <row r="95" spans="1:20" s="11" customFormat="1" ht="30" customHeight="1" x14ac:dyDescent="0.25">
      <c r="A95" s="43" t="s">
        <v>177</v>
      </c>
      <c r="B95" s="44" t="s">
        <v>415</v>
      </c>
      <c r="C95" s="36"/>
      <c r="D95" s="36"/>
      <c r="E95" s="36"/>
      <c r="F95" s="36"/>
      <c r="G95" s="36"/>
      <c r="H95" s="36"/>
      <c r="I95" s="36"/>
      <c r="J95" s="36"/>
      <c r="K95" s="36"/>
      <c r="L95" s="36">
        <f>10000+2900+1500</f>
        <v>14400</v>
      </c>
      <c r="M95" s="36"/>
      <c r="N95" s="36"/>
      <c r="O95" s="27">
        <f t="shared" si="19"/>
        <v>14400</v>
      </c>
      <c r="P95" s="57"/>
    </row>
    <row r="96" spans="1:20" s="8" customFormat="1" ht="15.75" customHeight="1" x14ac:dyDescent="0.25">
      <c r="A96" s="43" t="s">
        <v>414</v>
      </c>
      <c r="B96" s="44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6"/>
    </row>
    <row r="97" spans="1:20" s="9" customFormat="1" ht="15.75" customHeight="1" x14ac:dyDescent="0.25">
      <c r="A97" s="27" t="s">
        <v>58</v>
      </c>
      <c r="B97" s="41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7"/>
    </row>
    <row r="98" spans="1:20" s="11" customFormat="1" ht="30.75" customHeight="1" x14ac:dyDescent="0.25">
      <c r="A98" s="28" t="s">
        <v>153</v>
      </c>
      <c r="B98" s="44" t="s">
        <v>453</v>
      </c>
      <c r="C98" s="36">
        <f>140000+24442+13427</f>
        <v>177869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7">
        <f t="shared" si="19"/>
        <v>177869</v>
      </c>
      <c r="P98" s="57"/>
    </row>
    <row r="99" spans="1:20" s="7" customFormat="1" ht="29.25" customHeight="1" x14ac:dyDescent="0.25">
      <c r="A99" s="43" t="s">
        <v>76</v>
      </c>
      <c r="B99" s="44" t="s">
        <v>454</v>
      </c>
      <c r="C99" s="36">
        <v>100000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7">
        <f>C99+F99+I99+L99</f>
        <v>100000</v>
      </c>
      <c r="P99" s="40"/>
      <c r="S99" s="40"/>
      <c r="T99" s="40"/>
    </row>
    <row r="100" spans="1:20" s="7" customFormat="1" ht="27.75" customHeight="1" x14ac:dyDescent="0.25">
      <c r="A100" s="28" t="s">
        <v>77</v>
      </c>
      <c r="B100" s="44" t="s">
        <v>350</v>
      </c>
      <c r="C100" s="36">
        <v>10000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7">
        <f>C100+F100+I100+L100</f>
        <v>10000</v>
      </c>
      <c r="P100" s="40"/>
      <c r="S100" s="40"/>
      <c r="T100" s="40"/>
    </row>
    <row r="101" spans="1:20" s="7" customFormat="1" ht="16.5" customHeight="1" x14ac:dyDescent="0.25">
      <c r="A101" s="28" t="s">
        <v>165</v>
      </c>
      <c r="B101" s="33" t="s">
        <v>455</v>
      </c>
      <c r="C101" s="36">
        <f>90000-20000</f>
        <v>70000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7">
        <f>C101+F101+I101+L101</f>
        <v>70000</v>
      </c>
      <c r="P101" s="40"/>
      <c r="S101" s="40"/>
      <c r="T101" s="40"/>
    </row>
    <row r="102" spans="1:20" s="7" customFormat="1" ht="16.5" customHeight="1" x14ac:dyDescent="0.25">
      <c r="A102" s="28" t="s">
        <v>271</v>
      </c>
      <c r="B102" s="44" t="s">
        <v>456</v>
      </c>
      <c r="C102" s="36">
        <f>30000-29130</f>
        <v>870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7">
        <f>C102+F102+I102+L102</f>
        <v>870</v>
      </c>
      <c r="P102" s="40"/>
      <c r="S102" s="40"/>
      <c r="T102" s="40"/>
    </row>
    <row r="103" spans="1:20" s="7" customFormat="1" ht="15.75" customHeight="1" x14ac:dyDescent="0.25">
      <c r="A103" s="28" t="s">
        <v>272</v>
      </c>
      <c r="B103" s="44" t="s">
        <v>194</v>
      </c>
      <c r="C103" s="36"/>
      <c r="D103" s="37"/>
      <c r="E103" s="37"/>
      <c r="F103" s="36">
        <v>2000</v>
      </c>
      <c r="G103" s="36">
        <v>1770</v>
      </c>
      <c r="H103" s="36"/>
      <c r="I103" s="36"/>
      <c r="J103" s="37"/>
      <c r="K103" s="36"/>
      <c r="L103" s="37"/>
      <c r="M103" s="37"/>
      <c r="N103" s="37"/>
      <c r="O103" s="27">
        <f t="shared" si="19"/>
        <v>2000</v>
      </c>
      <c r="P103" s="57"/>
    </row>
    <row r="104" spans="1:20" s="11" customFormat="1" ht="16.5" customHeight="1" x14ac:dyDescent="0.25">
      <c r="A104" s="28" t="s">
        <v>347</v>
      </c>
      <c r="B104" s="44" t="s">
        <v>416</v>
      </c>
      <c r="C104" s="36">
        <v>5000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7">
        <f>C104+F104+I104+L104</f>
        <v>5000</v>
      </c>
      <c r="P104" s="57"/>
    </row>
    <row r="105" spans="1:20" s="11" customFormat="1" ht="15.75" customHeight="1" x14ac:dyDescent="0.25">
      <c r="A105" s="28" t="s">
        <v>417</v>
      </c>
      <c r="B105" s="44" t="s">
        <v>154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>
        <f>794976+425024+110000</f>
        <v>1330000</v>
      </c>
      <c r="M105" s="36"/>
      <c r="N105" s="36"/>
      <c r="O105" s="27">
        <f>C105+F105+I105+L105</f>
        <v>1330000</v>
      </c>
      <c r="P105" s="57"/>
    </row>
    <row r="106" spans="1:20" s="11" customFormat="1" ht="13.8" x14ac:dyDescent="0.25">
      <c r="A106" s="28" t="s">
        <v>519</v>
      </c>
      <c r="B106" s="44" t="s">
        <v>520</v>
      </c>
      <c r="C106" s="36"/>
      <c r="D106" s="36"/>
      <c r="E106" s="36"/>
      <c r="F106" s="36">
        <f>163000-28000</f>
        <v>135000</v>
      </c>
      <c r="G106" s="36"/>
      <c r="H106" s="36"/>
      <c r="I106" s="36"/>
      <c r="J106" s="36"/>
      <c r="K106" s="36"/>
      <c r="L106" s="36"/>
      <c r="M106" s="36"/>
      <c r="N106" s="36" t="s">
        <v>346</v>
      </c>
      <c r="O106" s="27">
        <f>C106+F106+I106+L106</f>
        <v>135000</v>
      </c>
      <c r="P106" s="57"/>
    </row>
    <row r="107" spans="1:20" s="11" customFormat="1" ht="27.6" x14ac:dyDescent="0.25">
      <c r="A107" s="28" t="s">
        <v>582</v>
      </c>
      <c r="B107" s="44" t="s">
        <v>584</v>
      </c>
      <c r="C107" s="36"/>
      <c r="D107" s="36"/>
      <c r="E107" s="36"/>
      <c r="F107" s="36">
        <v>13052</v>
      </c>
      <c r="G107" s="36"/>
      <c r="H107" s="36"/>
      <c r="I107" s="36"/>
      <c r="J107" s="36"/>
      <c r="K107" s="36"/>
      <c r="L107" s="36"/>
      <c r="M107" s="36"/>
      <c r="N107" s="36"/>
      <c r="O107" s="27">
        <f>C107+F107+I107+L107</f>
        <v>13052</v>
      </c>
      <c r="P107" s="57"/>
    </row>
    <row r="108" spans="1:20" s="4" customFormat="1" ht="28.5" customHeight="1" x14ac:dyDescent="0.25">
      <c r="A108" s="27" t="s">
        <v>59</v>
      </c>
      <c r="B108" s="41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6"/>
    </row>
    <row r="109" spans="1:20" s="10" customFormat="1" ht="15.75" customHeight="1" x14ac:dyDescent="0.3">
      <c r="A109" s="48" t="s">
        <v>78</v>
      </c>
      <c r="B109" s="33" t="s">
        <v>357</v>
      </c>
      <c r="C109" s="36"/>
      <c r="D109" s="36"/>
      <c r="E109" s="36"/>
      <c r="F109" s="36"/>
      <c r="G109" s="36"/>
      <c r="H109" s="36"/>
      <c r="I109" s="36"/>
      <c r="J109" s="36"/>
      <c r="K109" s="36"/>
      <c r="L109" s="36">
        <v>916</v>
      </c>
      <c r="M109" s="36"/>
      <c r="N109" s="36"/>
      <c r="O109" s="27">
        <f t="shared" si="19"/>
        <v>916</v>
      </c>
      <c r="P109" s="58"/>
    </row>
    <row r="110" spans="1:20" s="10" customFormat="1" ht="15.75" customHeight="1" x14ac:dyDescent="0.3">
      <c r="A110" s="48" t="s">
        <v>79</v>
      </c>
      <c r="B110" s="33" t="s">
        <v>358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>
        <v>12352</v>
      </c>
      <c r="M110" s="36"/>
      <c r="N110" s="36"/>
      <c r="O110" s="27">
        <f t="shared" si="19"/>
        <v>12352</v>
      </c>
      <c r="P110" s="58"/>
    </row>
    <row r="111" spans="1:20" s="4" customFormat="1" ht="16.5" customHeight="1" x14ac:dyDescent="0.25">
      <c r="A111" s="76" t="s">
        <v>160</v>
      </c>
      <c r="B111" s="49" t="s">
        <v>161</v>
      </c>
      <c r="C111" s="37">
        <f>SUM(C112,C113)</f>
        <v>8400</v>
      </c>
      <c r="D111" s="37">
        <f t="shared" ref="D111:O111" si="22">SUM(D112,D113)</f>
        <v>0</v>
      </c>
      <c r="E111" s="37">
        <f t="shared" si="22"/>
        <v>0</v>
      </c>
      <c r="F111" s="37">
        <f t="shared" si="22"/>
        <v>289250</v>
      </c>
      <c r="G111" s="37">
        <f t="shared" si="22"/>
        <v>198910</v>
      </c>
      <c r="H111" s="37">
        <f t="shared" si="22"/>
        <v>0</v>
      </c>
      <c r="I111" s="37">
        <f t="shared" si="22"/>
        <v>0</v>
      </c>
      <c r="J111" s="37">
        <f t="shared" si="22"/>
        <v>0</v>
      </c>
      <c r="K111" s="37">
        <f t="shared" si="22"/>
        <v>0</v>
      </c>
      <c r="L111" s="37">
        <f t="shared" si="22"/>
        <v>5500</v>
      </c>
      <c r="M111" s="37">
        <f t="shared" si="22"/>
        <v>0</v>
      </c>
      <c r="N111" s="37">
        <f t="shared" si="22"/>
        <v>0</v>
      </c>
      <c r="O111" s="37">
        <f t="shared" si="22"/>
        <v>303150</v>
      </c>
      <c r="P111" s="56"/>
    </row>
    <row r="112" spans="1:20" s="7" customFormat="1" ht="46.5" customHeight="1" x14ac:dyDescent="0.25">
      <c r="A112" s="43" t="s">
        <v>80</v>
      </c>
      <c r="B112" s="94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7"/>
      <c r="Q112" s="4"/>
      <c r="R112" s="4"/>
      <c r="S112" s="4"/>
      <c r="T112" s="4"/>
    </row>
    <row r="113" spans="1:20" s="7" customFormat="1" ht="31.5" customHeight="1" x14ac:dyDescent="0.25">
      <c r="A113" s="43" t="s">
        <v>151</v>
      </c>
      <c r="B113" s="75" t="s">
        <v>359</v>
      </c>
      <c r="C113" s="36"/>
      <c r="D113" s="37"/>
      <c r="E113" s="37"/>
      <c r="F113" s="36">
        <v>70130</v>
      </c>
      <c r="G113" s="36">
        <f>43160-16580</f>
        <v>26580</v>
      </c>
      <c r="H113" s="37"/>
      <c r="I113" s="37"/>
      <c r="J113" s="37"/>
      <c r="K113" s="37"/>
      <c r="L113" s="36"/>
      <c r="M113" s="37"/>
      <c r="N113" s="37"/>
      <c r="O113" s="27">
        <f>C113+F113+I113+L113</f>
        <v>70130</v>
      </c>
      <c r="P113" s="57"/>
      <c r="Q113" s="4"/>
      <c r="R113" s="4"/>
      <c r="S113" s="4"/>
      <c r="T113" s="4"/>
    </row>
    <row r="114" spans="1:20" s="1" customFormat="1" ht="15.75" customHeight="1" x14ac:dyDescent="0.3">
      <c r="A114" s="45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</row>
    <row r="115" spans="1:20" s="7" customFormat="1" ht="15.75" customHeight="1" x14ac:dyDescent="0.25">
      <c r="A115" s="29"/>
      <c r="B115" s="41" t="s">
        <v>27</v>
      </c>
      <c r="C115" s="37">
        <f t="shared" ref="C115:N115" si="23">SUM(C116,C117,C118,C119,C120,C121,C122,C123,C127,C140)</f>
        <v>4002736</v>
      </c>
      <c r="D115" s="37">
        <f t="shared" si="23"/>
        <v>3021215</v>
      </c>
      <c r="E115" s="37">
        <f t="shared" si="23"/>
        <v>0</v>
      </c>
      <c r="F115" s="37">
        <f t="shared" si="23"/>
        <v>50310</v>
      </c>
      <c r="G115" s="37">
        <f t="shared" si="23"/>
        <v>0</v>
      </c>
      <c r="H115" s="37">
        <f t="shared" si="23"/>
        <v>0</v>
      </c>
      <c r="I115" s="37">
        <f t="shared" si="23"/>
        <v>0</v>
      </c>
      <c r="J115" s="37">
        <f t="shared" si="23"/>
        <v>0</v>
      </c>
      <c r="K115" s="37">
        <f t="shared" si="23"/>
        <v>0</v>
      </c>
      <c r="L115" s="37">
        <f t="shared" si="23"/>
        <v>124426</v>
      </c>
      <c r="M115" s="37">
        <f t="shared" si="23"/>
        <v>0</v>
      </c>
      <c r="N115" s="37">
        <f t="shared" si="23"/>
        <v>0</v>
      </c>
      <c r="O115" s="37">
        <f>C115+F115+I115+L115</f>
        <v>4177472</v>
      </c>
      <c r="P115" s="57"/>
    </row>
    <row r="116" spans="1:20" s="4" customFormat="1" ht="15.75" customHeight="1" x14ac:dyDescent="0.25">
      <c r="A116" s="27" t="s">
        <v>60</v>
      </c>
      <c r="B116" s="49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6"/>
    </row>
    <row r="117" spans="1:20" s="4" customFormat="1" ht="15.75" customHeight="1" x14ac:dyDescent="0.25">
      <c r="A117" s="27" t="s">
        <v>90</v>
      </c>
      <c r="B117" s="41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6"/>
    </row>
    <row r="118" spans="1:20" s="9" customFormat="1" ht="15.75" customHeight="1" x14ac:dyDescent="0.25">
      <c r="A118" s="27" t="s">
        <v>91</v>
      </c>
      <c r="B118" s="41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115">
        <f>12000+18000+13000+3000+8000+1000</f>
        <v>55000</v>
      </c>
      <c r="M118" s="27"/>
      <c r="N118" s="27"/>
      <c r="O118" s="27">
        <f t="shared" si="24"/>
        <v>1017843</v>
      </c>
      <c r="P118" s="57"/>
    </row>
    <row r="119" spans="1:20" s="9" customFormat="1" ht="15.75" customHeight="1" x14ac:dyDescent="0.25">
      <c r="A119" s="27" t="s">
        <v>92</v>
      </c>
      <c r="B119" s="41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7"/>
    </row>
    <row r="120" spans="1:20" s="9" customFormat="1" ht="15.75" customHeight="1" x14ac:dyDescent="0.25">
      <c r="A120" s="27" t="s">
        <v>93</v>
      </c>
      <c r="B120" s="41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7"/>
    </row>
    <row r="121" spans="1:20" s="9" customFormat="1" ht="15.75" customHeight="1" x14ac:dyDescent="0.25">
      <c r="A121" s="27" t="s">
        <v>94</v>
      </c>
      <c r="B121" s="41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7"/>
    </row>
    <row r="122" spans="1:20" s="9" customFormat="1" ht="15.75" customHeight="1" x14ac:dyDescent="0.25">
      <c r="A122" s="27" t="s">
        <v>124</v>
      </c>
      <c r="B122" s="41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7"/>
    </row>
    <row r="123" spans="1:20" s="2" customFormat="1" ht="17.25" customHeight="1" x14ac:dyDescent="0.3">
      <c r="A123" s="27" t="s">
        <v>125</v>
      </c>
      <c r="B123" s="49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</row>
    <row r="124" spans="1:20" s="2" customFormat="1" ht="15.75" customHeight="1" x14ac:dyDescent="0.3">
      <c r="A124" s="43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</row>
    <row r="125" spans="1:20" s="2" customFormat="1" ht="15.75" customHeight="1" x14ac:dyDescent="0.3">
      <c r="A125" s="43" t="s">
        <v>274</v>
      </c>
      <c r="B125" s="33" t="s">
        <v>307</v>
      </c>
      <c r="C125" s="36">
        <v>25000</v>
      </c>
      <c r="D125" s="29"/>
      <c r="E125" s="29"/>
      <c r="F125" s="37"/>
      <c r="G125" s="29"/>
      <c r="H125" s="29"/>
      <c r="I125" s="37"/>
      <c r="J125" s="37"/>
      <c r="K125" s="29"/>
      <c r="L125" s="37"/>
      <c r="M125" s="29"/>
      <c r="N125" s="29"/>
      <c r="O125" s="27">
        <f t="shared" si="24"/>
        <v>25000</v>
      </c>
      <c r="P125" s="17"/>
    </row>
    <row r="126" spans="1:20" s="2" customFormat="1" ht="15.75" customHeight="1" x14ac:dyDescent="0.3">
      <c r="A126" s="43" t="s">
        <v>275</v>
      </c>
      <c r="B126" s="33" t="s">
        <v>30</v>
      </c>
      <c r="C126" s="36">
        <v>50000</v>
      </c>
      <c r="D126" s="29"/>
      <c r="E126" s="29"/>
      <c r="F126" s="37"/>
      <c r="G126" s="29"/>
      <c r="H126" s="29"/>
      <c r="I126" s="37"/>
      <c r="J126" s="37"/>
      <c r="K126" s="29"/>
      <c r="L126" s="37"/>
      <c r="M126" s="29"/>
      <c r="N126" s="29"/>
      <c r="O126" s="27">
        <f t="shared" si="24"/>
        <v>50000</v>
      </c>
      <c r="P126" s="17"/>
    </row>
    <row r="127" spans="1:20" s="7" customFormat="1" ht="15.75" customHeight="1" x14ac:dyDescent="0.25">
      <c r="A127" s="27" t="s">
        <v>126</v>
      </c>
      <c r="B127" s="41" t="s">
        <v>22</v>
      </c>
      <c r="C127" s="37">
        <f t="shared" ref="C127:N127" si="26">SUM(C128:C139)</f>
        <v>283825</v>
      </c>
      <c r="D127" s="37">
        <f t="shared" si="26"/>
        <v>0</v>
      </c>
      <c r="E127" s="37">
        <f t="shared" si="26"/>
        <v>0</v>
      </c>
      <c r="F127" s="37">
        <f t="shared" si="26"/>
        <v>18146</v>
      </c>
      <c r="G127" s="37">
        <f t="shared" si="26"/>
        <v>0</v>
      </c>
      <c r="H127" s="37">
        <f t="shared" si="26"/>
        <v>0</v>
      </c>
      <c r="I127" s="37">
        <f t="shared" si="26"/>
        <v>0</v>
      </c>
      <c r="J127" s="37">
        <f t="shared" si="26"/>
        <v>0</v>
      </c>
      <c r="K127" s="37">
        <f t="shared" si="26"/>
        <v>0</v>
      </c>
      <c r="L127" s="37">
        <f t="shared" si="26"/>
        <v>0</v>
      </c>
      <c r="M127" s="37">
        <f t="shared" si="26"/>
        <v>0</v>
      </c>
      <c r="N127" s="37">
        <f t="shared" si="26"/>
        <v>0</v>
      </c>
      <c r="O127" s="27">
        <f>C127+F127+I127+L127</f>
        <v>301971</v>
      </c>
      <c r="P127" s="57"/>
    </row>
    <row r="128" spans="1:20" s="11" customFormat="1" ht="15.75" customHeight="1" x14ac:dyDescent="0.25">
      <c r="A128" s="43" t="s">
        <v>276</v>
      </c>
      <c r="B128" s="44" t="s">
        <v>205</v>
      </c>
      <c r="C128" s="36">
        <v>15000</v>
      </c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7">
        <f t="shared" si="24"/>
        <v>15000</v>
      </c>
      <c r="P128" s="57"/>
    </row>
    <row r="129" spans="1:16" s="11" customFormat="1" ht="15.75" customHeight="1" x14ac:dyDescent="0.25">
      <c r="A129" s="43" t="s">
        <v>277</v>
      </c>
      <c r="B129" s="44" t="s">
        <v>418</v>
      </c>
      <c r="C129" s="36">
        <v>1000</v>
      </c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7">
        <f t="shared" si="24"/>
        <v>1000</v>
      </c>
      <c r="P129" s="57"/>
    </row>
    <row r="130" spans="1:16" s="11" customFormat="1" ht="29.25" customHeight="1" x14ac:dyDescent="0.25">
      <c r="A130" s="43" t="s">
        <v>278</v>
      </c>
      <c r="B130" s="44" t="s">
        <v>419</v>
      </c>
      <c r="C130" s="36">
        <f>50000-15000+1725</f>
        <v>36725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7">
        <f t="shared" si="24"/>
        <v>36725</v>
      </c>
      <c r="P130" s="57"/>
    </row>
    <row r="131" spans="1:16" s="11" customFormat="1" ht="15.75" customHeight="1" x14ac:dyDescent="0.25">
      <c r="A131" s="28" t="s">
        <v>279</v>
      </c>
      <c r="B131" s="44" t="s">
        <v>308</v>
      </c>
      <c r="C131" s="36">
        <f>12000+12000</f>
        <v>24000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7">
        <f t="shared" si="24"/>
        <v>24000</v>
      </c>
      <c r="P131" s="57"/>
    </row>
    <row r="132" spans="1:16" s="11" customFormat="1" ht="15.75" customHeight="1" x14ac:dyDescent="0.25">
      <c r="A132" s="28" t="s">
        <v>280</v>
      </c>
      <c r="B132" s="44" t="s">
        <v>457</v>
      </c>
      <c r="C132" s="36">
        <f>30000-1000</f>
        <v>29000</v>
      </c>
      <c r="D132" s="36"/>
      <c r="E132" s="36"/>
      <c r="F132" s="36">
        <v>18146</v>
      </c>
      <c r="G132" s="36"/>
      <c r="H132" s="36"/>
      <c r="I132" s="36"/>
      <c r="J132" s="36"/>
      <c r="K132" s="36"/>
      <c r="L132" s="36"/>
      <c r="M132" s="36"/>
      <c r="N132" s="36"/>
      <c r="O132" s="27">
        <f t="shared" si="24"/>
        <v>47146</v>
      </c>
      <c r="P132" s="57"/>
    </row>
    <row r="133" spans="1:16" s="11" customFormat="1" ht="15.75" customHeight="1" x14ac:dyDescent="0.25">
      <c r="A133" s="28" t="s">
        <v>281</v>
      </c>
      <c r="B133" s="44" t="s">
        <v>155</v>
      </c>
      <c r="C133" s="36">
        <v>6000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7">
        <f t="shared" si="24"/>
        <v>6000</v>
      </c>
      <c r="P133" s="57"/>
    </row>
    <row r="134" spans="1:16" s="7" customFormat="1" ht="15.75" customHeight="1" x14ac:dyDescent="0.25">
      <c r="A134" s="43" t="s">
        <v>282</v>
      </c>
      <c r="B134" s="44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7"/>
    </row>
    <row r="135" spans="1:16" s="7" customFormat="1" ht="15.75" customHeight="1" x14ac:dyDescent="0.25">
      <c r="A135" s="43" t="s">
        <v>283</v>
      </c>
      <c r="B135" s="44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7"/>
    </row>
    <row r="136" spans="1:16" s="7" customFormat="1" ht="30.75" customHeight="1" x14ac:dyDescent="0.25">
      <c r="A136" s="43" t="s">
        <v>285</v>
      </c>
      <c r="B136" s="44" t="s">
        <v>420</v>
      </c>
      <c r="C136" s="113">
        <f>100000+15000</f>
        <v>115000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115000</v>
      </c>
      <c r="P136" s="57"/>
    </row>
    <row r="137" spans="1:16" s="11" customFormat="1" ht="15.75" customHeight="1" x14ac:dyDescent="0.25">
      <c r="A137" s="42" t="s">
        <v>363</v>
      </c>
      <c r="B137" s="44" t="s">
        <v>286</v>
      </c>
      <c r="C137" s="36">
        <v>9000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7">
        <f t="shared" si="24"/>
        <v>9000</v>
      </c>
      <c r="P137" s="57"/>
    </row>
    <row r="138" spans="1:16" s="11" customFormat="1" ht="29.25" customHeight="1" x14ac:dyDescent="0.25">
      <c r="A138" s="42" t="s">
        <v>287</v>
      </c>
      <c r="B138" s="44" t="s">
        <v>309</v>
      </c>
      <c r="C138" s="36">
        <v>11100</v>
      </c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7">
        <f t="shared" si="24"/>
        <v>11100</v>
      </c>
      <c r="P138" s="57"/>
    </row>
    <row r="139" spans="1:16" s="11" customFormat="1" ht="15.75" customHeight="1" x14ac:dyDescent="0.25">
      <c r="A139" s="42" t="s">
        <v>288</v>
      </c>
      <c r="B139" s="44" t="s">
        <v>421</v>
      </c>
      <c r="C139" s="36">
        <v>3000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7">
        <f t="shared" si="24"/>
        <v>3000</v>
      </c>
      <c r="P139" s="57"/>
    </row>
    <row r="140" spans="1:16" s="9" customFormat="1" ht="17.25" customHeight="1" x14ac:dyDescent="0.25">
      <c r="A140" s="27" t="s">
        <v>127</v>
      </c>
      <c r="B140" s="41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7"/>
    </row>
    <row r="141" spans="1:16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7"/>
    </row>
    <row r="142" spans="1:16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7"/>
    </row>
    <row r="143" spans="1:16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7"/>
    </row>
    <row r="144" spans="1:16" s="11" customFormat="1" ht="45.75" customHeight="1" x14ac:dyDescent="0.25">
      <c r="A144" s="42" t="s">
        <v>459</v>
      </c>
      <c r="B144" s="44" t="s">
        <v>460</v>
      </c>
      <c r="C144" s="29">
        <f>85000+5000</f>
        <v>90000</v>
      </c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7">
        <f>C144+F144+I144+L144</f>
        <v>90000</v>
      </c>
      <c r="P144" s="57"/>
    </row>
    <row r="145" spans="1:16" s="1" customFormat="1" ht="18" customHeight="1" x14ac:dyDescent="0.3">
      <c r="A145" s="45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</row>
    <row r="146" spans="1:16" s="7" customFormat="1" ht="15.75" customHeight="1" x14ac:dyDescent="0.25">
      <c r="A146" s="29"/>
      <c r="B146" s="41" t="s">
        <v>27</v>
      </c>
      <c r="C146" s="37">
        <f t="shared" ref="C146:H146" si="28">SUM(C147:C148,C151,C154:C156,C159:C159,C162,C165,C168,C171:C171,C174,C177,C180:C182,C183,C197)</f>
        <v>9389780</v>
      </c>
      <c r="D146" s="37">
        <f t="shared" si="28"/>
        <v>6609651</v>
      </c>
      <c r="E146" s="37">
        <f t="shared" si="28"/>
        <v>0</v>
      </c>
      <c r="F146" s="37">
        <f>SUM(F147:F148,F151,F154:F156,F159:F159,F162,F165,F168,F171:F171,F174,F177,F180:F182,F183,F197)</f>
        <v>975207</v>
      </c>
      <c r="G146" s="37">
        <f t="shared" si="28"/>
        <v>102483</v>
      </c>
      <c r="H146" s="37">
        <f t="shared" si="28"/>
        <v>195370</v>
      </c>
      <c r="I146" s="37">
        <f>SUM(I147:I148,I151,I154:I156,I159:I159,I162,I165,I168,I171:I171,I174,I177,I180:I182,I183)</f>
        <v>10828900</v>
      </c>
      <c r="J146" s="37">
        <f>SUM(J147:J148,J151,J154:J156,J159:J159,J162,J165,J168,J171:J171,J174,J177,J180:J182,J183)</f>
        <v>10193706</v>
      </c>
      <c r="K146" s="37">
        <f>SUM(K147:K148,K151,K154:K156,K159:K159,K162,K165,K168,K171:K171,K174,K177,K180:K182,K183,K197)</f>
        <v>0</v>
      </c>
      <c r="L146" s="37">
        <f>SUM(L147:L148,L151,L154:L156,L159:L159,L162,L165,L168,L171:L171,L174,L177,L180:L182,L183,L197)</f>
        <v>556002</v>
      </c>
      <c r="M146" s="37">
        <f>SUM(M147:M148,M151,M154:M156,M159:M159,M162,M165,M168,M171:M171,M174,M177,M180:M182,M183,M197)</f>
        <v>24670</v>
      </c>
      <c r="N146" s="37">
        <f>SUM(N147:N148,N151,N154:N156,N159:N159,N162,N165,N168,N171:N171,N174,N177,N180:N182,N183,N197)</f>
        <v>0</v>
      </c>
      <c r="O146" s="27">
        <f>C146+F146+I146+L146</f>
        <v>21749889</v>
      </c>
      <c r="P146" s="57"/>
    </row>
    <row r="147" spans="1:16" s="10" customFormat="1" ht="15.75" customHeight="1" x14ac:dyDescent="0.3">
      <c r="A147" s="37" t="s">
        <v>128</v>
      </c>
      <c r="B147" s="89" t="s">
        <v>12</v>
      </c>
      <c r="C147" s="116">
        <f>470000+1368+58438+1000+2500+1800</f>
        <v>535106</v>
      </c>
      <c r="D147" s="37">
        <v>371000</v>
      </c>
      <c r="E147" s="37"/>
      <c r="F147" s="37"/>
      <c r="G147" s="37"/>
      <c r="H147" s="37"/>
      <c r="I147" s="37">
        <f>1485053+55590</f>
        <v>1540643</v>
      </c>
      <c r="J147" s="37">
        <v>1430788</v>
      </c>
      <c r="K147" s="37"/>
      <c r="L147" s="37">
        <f>4030+150+22490-12140</f>
        <v>14530</v>
      </c>
      <c r="M147" s="37"/>
      <c r="N147" s="37"/>
      <c r="O147" s="27">
        <f t="shared" ref="O147:O202" si="29">C147+F147+I147+L147</f>
        <v>2090279</v>
      </c>
      <c r="P147" s="58"/>
    </row>
    <row r="148" spans="1:16" s="10" customFormat="1" ht="15.75" customHeight="1" x14ac:dyDescent="0.3">
      <c r="A148" s="37" t="s">
        <v>129</v>
      </c>
      <c r="B148" s="49" t="s">
        <v>83</v>
      </c>
      <c r="C148" s="37">
        <f>C149+C150+20000</f>
        <v>565532</v>
      </c>
      <c r="D148" s="37">
        <f t="shared" ref="D148:K148" si="30">D149+D150</f>
        <v>394000</v>
      </c>
      <c r="E148" s="37">
        <f t="shared" si="30"/>
        <v>0</v>
      </c>
      <c r="F148" s="37">
        <f>F149+F150+519+16688</f>
        <v>32406</v>
      </c>
      <c r="G148" s="37">
        <f t="shared" si="30"/>
        <v>8528</v>
      </c>
      <c r="H148" s="37">
        <f t="shared" si="30"/>
        <v>0</v>
      </c>
      <c r="I148" s="37">
        <f>I149+I150+22402</f>
        <v>864701</v>
      </c>
      <c r="J148" s="37">
        <f>J149+J150</f>
        <v>816335</v>
      </c>
      <c r="K148" s="37">
        <f t="shared" si="30"/>
        <v>0</v>
      </c>
      <c r="L148" s="116">
        <f>L149+L150+1200-1200</f>
        <v>19320</v>
      </c>
      <c r="M148" s="37">
        <f>M149+M150</f>
        <v>0</v>
      </c>
      <c r="N148" s="37">
        <f>N149+N150</f>
        <v>0</v>
      </c>
      <c r="O148" s="27">
        <f>C148+F148+I148+L148</f>
        <v>1481959</v>
      </c>
      <c r="P148" s="58"/>
    </row>
    <row r="149" spans="1:16" s="10" customFormat="1" ht="15.75" hidden="1" customHeight="1" x14ac:dyDescent="0.3">
      <c r="A149" s="48" t="s">
        <v>366</v>
      </c>
      <c r="B149" s="33" t="s">
        <v>26</v>
      </c>
      <c r="C149" s="36">
        <f>133300</f>
        <v>133300</v>
      </c>
      <c r="D149" s="36">
        <v>129000</v>
      </c>
      <c r="E149" s="36"/>
      <c r="F149" s="36">
        <v>15199</v>
      </c>
      <c r="G149" s="36">
        <f>8528</f>
        <v>8528</v>
      </c>
      <c r="H149" s="36"/>
      <c r="I149" s="36">
        <v>66252</v>
      </c>
      <c r="J149" s="36">
        <v>63339</v>
      </c>
      <c r="K149" s="36"/>
      <c r="L149" s="36">
        <v>19320</v>
      </c>
      <c r="M149" s="36"/>
      <c r="N149" s="36"/>
      <c r="O149" s="27">
        <f>C149+F149+I149+L149</f>
        <v>234071</v>
      </c>
      <c r="P149" s="58"/>
    </row>
    <row r="150" spans="1:16" s="10" customFormat="1" ht="15.75" hidden="1" customHeight="1" x14ac:dyDescent="0.3">
      <c r="A150" s="48" t="s">
        <v>367</v>
      </c>
      <c r="B150" s="33" t="s">
        <v>25</v>
      </c>
      <c r="C150" s="36">
        <f>515300-133300+5000+25232</f>
        <v>412232</v>
      </c>
      <c r="D150" s="36">
        <f>394000-129000</f>
        <v>265000</v>
      </c>
      <c r="E150" s="36"/>
      <c r="F150" s="36"/>
      <c r="G150" s="36"/>
      <c r="H150" s="36"/>
      <c r="I150" s="36">
        <v>776047</v>
      </c>
      <c r="J150" s="36">
        <v>752996</v>
      </c>
      <c r="K150" s="36"/>
      <c r="L150" s="36"/>
      <c r="M150" s="36"/>
      <c r="N150" s="36"/>
      <c r="O150" s="27">
        <f>C150+F150+I150+L150</f>
        <v>1188279</v>
      </c>
      <c r="P150" s="58"/>
    </row>
    <row r="151" spans="1:16" s="10" customFormat="1" ht="15.6" x14ac:dyDescent="0.3">
      <c r="A151" s="37" t="s">
        <v>130</v>
      </c>
      <c r="B151" s="49" t="s">
        <v>562</v>
      </c>
      <c r="C151" s="37">
        <f>C152+C153</f>
        <v>873798</v>
      </c>
      <c r="D151" s="37">
        <f t="shared" ref="D151:K151" si="31">D152+D153</f>
        <v>425000</v>
      </c>
      <c r="E151" s="37">
        <f t="shared" si="31"/>
        <v>0</v>
      </c>
      <c r="F151" s="37">
        <f>F152+F153+997+11126</f>
        <v>23522</v>
      </c>
      <c r="G151" s="37">
        <f t="shared" si="31"/>
        <v>9932</v>
      </c>
      <c r="H151" s="37">
        <f t="shared" si="31"/>
        <v>0</v>
      </c>
      <c r="I151" s="37">
        <f>I152+I153+30537</f>
        <v>931395</v>
      </c>
      <c r="J151" s="37">
        <f>J152+J153</f>
        <v>737167</v>
      </c>
      <c r="K151" s="37">
        <f t="shared" si="31"/>
        <v>0</v>
      </c>
      <c r="L151" s="37">
        <f>L152+L153+4200+5000</f>
        <v>45395</v>
      </c>
      <c r="M151" s="37">
        <f>M152+M153</f>
        <v>0</v>
      </c>
      <c r="N151" s="37">
        <f>N152+N153</f>
        <v>0</v>
      </c>
      <c r="O151" s="27">
        <f t="shared" si="29"/>
        <v>1874110</v>
      </c>
      <c r="P151" s="58"/>
    </row>
    <row r="152" spans="1:16" s="10" customFormat="1" ht="15.75" hidden="1" customHeight="1" x14ac:dyDescent="0.3">
      <c r="A152" s="48" t="s">
        <v>167</v>
      </c>
      <c r="B152" s="33" t="s">
        <v>26</v>
      </c>
      <c r="C152" s="36">
        <f>140300+2708+54187</f>
        <v>197195</v>
      </c>
      <c r="D152" s="36">
        <v>136000</v>
      </c>
      <c r="E152" s="36"/>
      <c r="F152" s="36">
        <f>11399</f>
        <v>11399</v>
      </c>
      <c r="G152" s="36">
        <f>9932</f>
        <v>9932</v>
      </c>
      <c r="H152" s="36"/>
      <c r="I152" s="36">
        <f>108815+32423</f>
        <v>141238</v>
      </c>
      <c r="J152" s="36">
        <v>105696</v>
      </c>
      <c r="K152" s="36"/>
      <c r="L152" s="36">
        <f>19370+16615</f>
        <v>35985</v>
      </c>
      <c r="M152" s="36"/>
      <c r="N152" s="36"/>
      <c r="O152" s="27">
        <f t="shared" si="29"/>
        <v>385817</v>
      </c>
      <c r="P152" s="58"/>
    </row>
    <row r="153" spans="1:16" s="10" customFormat="1" ht="15.75" hidden="1" customHeight="1" x14ac:dyDescent="0.3">
      <c r="A153" s="48" t="s">
        <v>168</v>
      </c>
      <c r="B153" s="33" t="s">
        <v>25</v>
      </c>
      <c r="C153" s="36">
        <f>586100-140300+5938+33808+191057</f>
        <v>676603</v>
      </c>
      <c r="D153" s="36">
        <f>425000-136000</f>
        <v>289000</v>
      </c>
      <c r="E153" s="36"/>
      <c r="F153" s="36"/>
      <c r="G153" s="36"/>
      <c r="H153" s="36"/>
      <c r="I153" s="36">
        <f>651474+108146</f>
        <v>759620</v>
      </c>
      <c r="J153" s="36">
        <v>631471</v>
      </c>
      <c r="K153" s="36"/>
      <c r="L153" s="36">
        <v>210</v>
      </c>
      <c r="M153" s="36"/>
      <c r="N153" s="36"/>
      <c r="O153" s="27">
        <f t="shared" si="29"/>
        <v>1436433</v>
      </c>
      <c r="P153" s="58"/>
    </row>
    <row r="154" spans="1:16" s="10" customFormat="1" ht="15.75" customHeight="1" x14ac:dyDescent="0.3">
      <c r="A154" s="37" t="s">
        <v>131</v>
      </c>
      <c r="B154" s="49" t="s">
        <v>289</v>
      </c>
      <c r="C154" s="37">
        <f>503600+20721+39248+718</f>
        <v>564287</v>
      </c>
      <c r="D154" s="37">
        <v>385000</v>
      </c>
      <c r="E154" s="37"/>
      <c r="F154" s="37">
        <f>1434</f>
        <v>1434</v>
      </c>
      <c r="G154" s="37"/>
      <c r="H154" s="37"/>
      <c r="I154" s="37">
        <f>1713935+75957</f>
        <v>1789892</v>
      </c>
      <c r="J154" s="37">
        <v>1645255</v>
      </c>
      <c r="K154" s="37"/>
      <c r="L154" s="37">
        <f>2700+22000-14800</f>
        <v>9900</v>
      </c>
      <c r="M154" s="37"/>
      <c r="N154" s="37"/>
      <c r="O154" s="27">
        <f>C154+F154+I154+L154</f>
        <v>2365513</v>
      </c>
      <c r="P154" s="58"/>
    </row>
    <row r="155" spans="1:16" s="10" customFormat="1" ht="15.75" customHeight="1" x14ac:dyDescent="0.3">
      <c r="A155" s="37" t="s">
        <v>132</v>
      </c>
      <c r="B155" s="49" t="s">
        <v>561</v>
      </c>
      <c r="C155" s="37">
        <f>471200+6363+48638+511+303116</f>
        <v>829828</v>
      </c>
      <c r="D155" s="37">
        <v>363000</v>
      </c>
      <c r="E155" s="37"/>
      <c r="F155" s="37">
        <f>1022+732+2782</f>
        <v>4536</v>
      </c>
      <c r="G155" s="37"/>
      <c r="H155" s="37"/>
      <c r="I155" s="37">
        <f>838749+231911+158710</f>
        <v>1229370</v>
      </c>
      <c r="J155" s="37">
        <v>807070</v>
      </c>
      <c r="K155" s="37"/>
      <c r="L155" s="37">
        <f>4000+4456+8000</f>
        <v>16456</v>
      </c>
      <c r="M155" s="37"/>
      <c r="N155" s="37"/>
      <c r="O155" s="27">
        <f>C155+F155+I155+L155</f>
        <v>2080190</v>
      </c>
      <c r="P155" s="58"/>
    </row>
    <row r="156" spans="1:16" s="10" customFormat="1" ht="15.6" x14ac:dyDescent="0.3">
      <c r="A156" s="37" t="s">
        <v>133</v>
      </c>
      <c r="B156" s="49" t="s">
        <v>563</v>
      </c>
      <c r="C156" s="37">
        <f>C157+C158</f>
        <v>267868</v>
      </c>
      <c r="D156" s="37">
        <f t="shared" ref="D156:N156" si="32">D157+D158</f>
        <v>284000</v>
      </c>
      <c r="E156" s="37">
        <f t="shared" si="32"/>
        <v>0</v>
      </c>
      <c r="F156" s="37">
        <f t="shared" si="32"/>
        <v>0</v>
      </c>
      <c r="G156" s="37">
        <f t="shared" si="32"/>
        <v>0</v>
      </c>
      <c r="H156" s="37">
        <f t="shared" si="32"/>
        <v>0</v>
      </c>
      <c r="I156" s="37">
        <f t="shared" si="32"/>
        <v>430994</v>
      </c>
      <c r="J156" s="37">
        <f>J157+J158</f>
        <v>525181</v>
      </c>
      <c r="K156" s="37">
        <f t="shared" si="32"/>
        <v>0</v>
      </c>
      <c r="L156" s="37">
        <f t="shared" si="32"/>
        <v>6227</v>
      </c>
      <c r="M156" s="37">
        <f t="shared" si="32"/>
        <v>0</v>
      </c>
      <c r="N156" s="37">
        <f t="shared" si="32"/>
        <v>0</v>
      </c>
      <c r="O156" s="27">
        <f t="shared" si="29"/>
        <v>705089</v>
      </c>
      <c r="P156" s="58"/>
    </row>
    <row r="157" spans="1:16" s="10" customFormat="1" ht="15.75" hidden="1" customHeight="1" x14ac:dyDescent="0.3">
      <c r="A157" s="90" t="s">
        <v>310</v>
      </c>
      <c r="B157" s="33" t="s">
        <v>26</v>
      </c>
      <c r="C157" s="36">
        <f>78300+3241-24823</f>
        <v>56718</v>
      </c>
      <c r="D157" s="36">
        <v>75900</v>
      </c>
      <c r="E157" s="36"/>
      <c r="F157" s="36"/>
      <c r="G157" s="36"/>
      <c r="H157" s="36"/>
      <c r="I157" s="36">
        <f>44000-15081</f>
        <v>28919</v>
      </c>
      <c r="J157" s="36">
        <v>42120</v>
      </c>
      <c r="K157" s="36"/>
      <c r="L157" s="36">
        <f>11100-4963</f>
        <v>6137</v>
      </c>
      <c r="M157" s="36"/>
      <c r="N157" s="36"/>
      <c r="O157" s="27">
        <f t="shared" si="29"/>
        <v>91774</v>
      </c>
      <c r="P157" s="58"/>
    </row>
    <row r="158" spans="1:16" s="10" customFormat="1" ht="15.75" hidden="1" customHeight="1" x14ac:dyDescent="0.3">
      <c r="A158" s="48" t="s">
        <v>311</v>
      </c>
      <c r="B158" s="33" t="s">
        <v>25</v>
      </c>
      <c r="C158" s="36">
        <f>356400-78300+8729+12490-88169</f>
        <v>211150</v>
      </c>
      <c r="D158" s="36">
        <f>284000-75900</f>
        <v>208100</v>
      </c>
      <c r="E158" s="36"/>
      <c r="F158" s="36"/>
      <c r="G158" s="36"/>
      <c r="H158" s="36"/>
      <c r="I158" s="36">
        <f>495487-93412</f>
        <v>402075</v>
      </c>
      <c r="J158" s="36">
        <v>483061</v>
      </c>
      <c r="K158" s="36"/>
      <c r="L158" s="36">
        <f>300-210</f>
        <v>90</v>
      </c>
      <c r="M158" s="36"/>
      <c r="N158" s="36"/>
      <c r="O158" s="27">
        <f t="shared" si="29"/>
        <v>613315</v>
      </c>
      <c r="P158" s="58"/>
    </row>
    <row r="159" spans="1:16" s="10" customFormat="1" ht="31.5" customHeight="1" x14ac:dyDescent="0.3">
      <c r="A159" s="37" t="s">
        <v>134</v>
      </c>
      <c r="B159" s="49" t="s">
        <v>564</v>
      </c>
      <c r="C159" s="37">
        <f>C160+C161</f>
        <v>220216</v>
      </c>
      <c r="D159" s="37">
        <f>D160+D161</f>
        <v>300751</v>
      </c>
      <c r="E159" s="37">
        <f t="shared" ref="E159:N159" si="33">E160+E161</f>
        <v>0</v>
      </c>
      <c r="F159" s="37">
        <f t="shared" si="33"/>
        <v>0</v>
      </c>
      <c r="G159" s="37">
        <f t="shared" si="33"/>
        <v>0</v>
      </c>
      <c r="H159" s="37">
        <f t="shared" si="33"/>
        <v>0</v>
      </c>
      <c r="I159" s="37">
        <f t="shared" si="33"/>
        <v>248936</v>
      </c>
      <c r="J159" s="37">
        <f>J160+J161</f>
        <v>273472</v>
      </c>
      <c r="K159" s="37">
        <f t="shared" si="33"/>
        <v>0</v>
      </c>
      <c r="L159" s="37">
        <f t="shared" si="33"/>
        <v>11168</v>
      </c>
      <c r="M159" s="37">
        <f t="shared" si="33"/>
        <v>0</v>
      </c>
      <c r="N159" s="37">
        <f t="shared" si="33"/>
        <v>0</v>
      </c>
      <c r="O159" s="27">
        <f>C159+F159+I159+L159</f>
        <v>480320</v>
      </c>
      <c r="P159" s="58"/>
    </row>
    <row r="160" spans="1:16" s="10" customFormat="1" ht="15.75" hidden="1" customHeight="1" x14ac:dyDescent="0.3">
      <c r="A160" s="91" t="s">
        <v>195</v>
      </c>
      <c r="B160" s="33" t="s">
        <v>26</v>
      </c>
      <c r="C160" s="36">
        <f>87000+3764-29364</f>
        <v>61400</v>
      </c>
      <c r="D160" s="36">
        <v>83000</v>
      </c>
      <c r="E160" s="36"/>
      <c r="F160" s="36"/>
      <c r="G160" s="36"/>
      <c r="H160" s="36"/>
      <c r="I160" s="36">
        <f>50285-17342</f>
        <v>32943</v>
      </c>
      <c r="J160" s="36">
        <v>48360</v>
      </c>
      <c r="K160" s="36"/>
      <c r="L160" s="36">
        <f>21500-11652</f>
        <v>9848</v>
      </c>
      <c r="M160" s="36"/>
      <c r="N160" s="36"/>
      <c r="O160" s="27">
        <f>C160+F160+I160+L160</f>
        <v>104191</v>
      </c>
      <c r="P160" s="58"/>
    </row>
    <row r="161" spans="1:16" s="10" customFormat="1" ht="15.75" hidden="1" customHeight="1" x14ac:dyDescent="0.3">
      <c r="A161" s="48" t="s">
        <v>196</v>
      </c>
      <c r="B161" s="33" t="s">
        <v>25</v>
      </c>
      <c r="C161" s="36">
        <f>343900+3804-87000+1000-102888</f>
        <v>158816</v>
      </c>
      <c r="D161" s="36">
        <f>297000+3751-83000</f>
        <v>217751</v>
      </c>
      <c r="E161" s="36"/>
      <c r="F161" s="36"/>
      <c r="G161" s="36"/>
      <c r="H161" s="36"/>
      <c r="I161" s="36">
        <f>230727-14734</f>
        <v>215993</v>
      </c>
      <c r="J161" s="36">
        <v>225112</v>
      </c>
      <c r="K161" s="36"/>
      <c r="L161" s="36">
        <v>1320</v>
      </c>
      <c r="M161" s="36"/>
      <c r="N161" s="36"/>
      <c r="O161" s="27">
        <f>C161+F161+I161+L161</f>
        <v>376129</v>
      </c>
      <c r="P161" s="58"/>
    </row>
    <row r="162" spans="1:16" s="10" customFormat="1" ht="30" customHeight="1" x14ac:dyDescent="0.3">
      <c r="A162" s="37" t="s">
        <v>135</v>
      </c>
      <c r="B162" s="49" t="s">
        <v>565</v>
      </c>
      <c r="C162" s="116">
        <f>C163+C164+4700</f>
        <v>481351</v>
      </c>
      <c r="D162" s="37">
        <f>D163+D164</f>
        <v>377000</v>
      </c>
      <c r="E162" s="37">
        <f t="shared" ref="E162:N162" si="34">E163+E164</f>
        <v>0</v>
      </c>
      <c r="F162" s="37">
        <f>F163+F164+692+16688</f>
        <v>40898</v>
      </c>
      <c r="G162" s="37">
        <f t="shared" si="34"/>
        <v>5850</v>
      </c>
      <c r="H162" s="37">
        <f t="shared" si="34"/>
        <v>0</v>
      </c>
      <c r="I162" s="37">
        <f>I163+I164+67904</f>
        <v>799402</v>
      </c>
      <c r="J162" s="37">
        <f>J163+J164</f>
        <v>706878</v>
      </c>
      <c r="K162" s="37">
        <f t="shared" si="34"/>
        <v>0</v>
      </c>
      <c r="L162" s="37">
        <f>L163+L164+1200-4000</f>
        <v>25700</v>
      </c>
      <c r="M162" s="37">
        <f t="shared" si="34"/>
        <v>0</v>
      </c>
      <c r="N162" s="37">
        <f t="shared" si="34"/>
        <v>0</v>
      </c>
      <c r="O162" s="27">
        <f t="shared" si="29"/>
        <v>1347351</v>
      </c>
      <c r="P162" s="58"/>
    </row>
    <row r="163" spans="1:16" s="10" customFormat="1" ht="15.75" hidden="1" customHeight="1" x14ac:dyDescent="0.3">
      <c r="A163" s="91" t="s">
        <v>290</v>
      </c>
      <c r="B163" s="33" t="s">
        <v>26</v>
      </c>
      <c r="C163" s="36">
        <f>165300+2657</f>
        <v>167957</v>
      </c>
      <c r="D163" s="36">
        <f>160000</f>
        <v>160000</v>
      </c>
      <c r="E163" s="36"/>
      <c r="F163" s="36">
        <f>22798+720</f>
        <v>23518</v>
      </c>
      <c r="G163" s="36">
        <f>5850</f>
        <v>5850</v>
      </c>
      <c r="H163" s="36"/>
      <c r="I163" s="36">
        <v>159553</v>
      </c>
      <c r="J163" s="36">
        <v>154502</v>
      </c>
      <c r="K163" s="36"/>
      <c r="L163" s="36">
        <v>28500</v>
      </c>
      <c r="M163" s="36"/>
      <c r="N163" s="36"/>
      <c r="O163" s="27">
        <f t="shared" si="29"/>
        <v>379528</v>
      </c>
      <c r="P163" s="58"/>
    </row>
    <row r="164" spans="1:16" s="10" customFormat="1" ht="15.75" hidden="1" customHeight="1" x14ac:dyDescent="0.3">
      <c r="A164" s="48" t="s">
        <v>291</v>
      </c>
      <c r="B164" s="33" t="s">
        <v>25</v>
      </c>
      <c r="C164" s="36">
        <f>449400-165300+17080+7514</f>
        <v>308694</v>
      </c>
      <c r="D164" s="36">
        <f>377000-160000</f>
        <v>217000</v>
      </c>
      <c r="E164" s="36"/>
      <c r="F164" s="36"/>
      <c r="G164" s="36"/>
      <c r="H164" s="36"/>
      <c r="I164" s="36">
        <v>571945</v>
      </c>
      <c r="J164" s="36">
        <v>552376</v>
      </c>
      <c r="K164" s="36"/>
      <c r="L164" s="36"/>
      <c r="M164" s="36"/>
      <c r="N164" s="36"/>
      <c r="O164" s="27">
        <f t="shared" si="29"/>
        <v>880639</v>
      </c>
      <c r="P164" s="58"/>
    </row>
    <row r="165" spans="1:16" s="10" customFormat="1" ht="30.75" customHeight="1" x14ac:dyDescent="0.3">
      <c r="A165" s="37" t="s">
        <v>136</v>
      </c>
      <c r="B165" s="49" t="s">
        <v>566</v>
      </c>
      <c r="C165" s="37">
        <f>C166+C167</f>
        <v>259511</v>
      </c>
      <c r="D165" s="37">
        <f t="shared" ref="D165:L165" si="35">D166+D167</f>
        <v>342000</v>
      </c>
      <c r="E165" s="37">
        <f t="shared" si="35"/>
        <v>0</v>
      </c>
      <c r="F165" s="37">
        <f t="shared" si="35"/>
        <v>1440</v>
      </c>
      <c r="G165" s="37">
        <f t="shared" si="35"/>
        <v>0</v>
      </c>
      <c r="H165" s="37">
        <f t="shared" si="35"/>
        <v>0</v>
      </c>
      <c r="I165" s="37">
        <f t="shared" si="35"/>
        <v>354071</v>
      </c>
      <c r="J165" s="37">
        <f>J166+J167</f>
        <v>460148</v>
      </c>
      <c r="K165" s="37">
        <f t="shared" si="35"/>
        <v>0</v>
      </c>
      <c r="L165" s="37">
        <f t="shared" si="35"/>
        <v>8541</v>
      </c>
      <c r="M165" s="37">
        <f>M166+M167</f>
        <v>0</v>
      </c>
      <c r="N165" s="37">
        <f>N166+N167</f>
        <v>0</v>
      </c>
      <c r="O165" s="27">
        <f t="shared" si="29"/>
        <v>623563</v>
      </c>
      <c r="P165" s="58"/>
    </row>
    <row r="166" spans="1:16" s="10" customFormat="1" ht="15.75" hidden="1" customHeight="1" x14ac:dyDescent="0.3">
      <c r="A166" s="91" t="s">
        <v>169</v>
      </c>
      <c r="B166" s="33" t="s">
        <v>26</v>
      </c>
      <c r="C166" s="36">
        <f>124700-46331</f>
        <v>78369</v>
      </c>
      <c r="D166" s="36">
        <f>120500</f>
        <v>120500</v>
      </c>
      <c r="E166" s="36"/>
      <c r="F166" s="36">
        <v>1440</v>
      </c>
      <c r="G166" s="36"/>
      <c r="H166" s="36"/>
      <c r="I166" s="36">
        <f>31614-12190</f>
        <v>19424</v>
      </c>
      <c r="J166" s="36">
        <v>30000</v>
      </c>
      <c r="K166" s="36"/>
      <c r="L166" s="36">
        <f>10960-2419</f>
        <v>8541</v>
      </c>
      <c r="M166" s="36"/>
      <c r="N166" s="36"/>
      <c r="O166" s="27">
        <f t="shared" si="29"/>
        <v>107774</v>
      </c>
      <c r="P166" s="58"/>
    </row>
    <row r="167" spans="1:16" s="10" customFormat="1" ht="15.75" hidden="1" customHeight="1" x14ac:dyDescent="0.3">
      <c r="A167" s="48" t="s">
        <v>170</v>
      </c>
      <c r="B167" s="33" t="s">
        <v>25</v>
      </c>
      <c r="C167" s="36">
        <f>430900-124700+3500+6885-135443</f>
        <v>181142</v>
      </c>
      <c r="D167" s="36">
        <f>342000-120500</f>
        <v>221500</v>
      </c>
      <c r="E167" s="36"/>
      <c r="F167" s="36"/>
      <c r="G167" s="36"/>
      <c r="H167" s="36"/>
      <c r="I167" s="36">
        <f>442267-107620</f>
        <v>334647</v>
      </c>
      <c r="J167" s="36">
        <v>430148</v>
      </c>
      <c r="K167" s="36"/>
      <c r="L167" s="36"/>
      <c r="M167" s="36"/>
      <c r="N167" s="36"/>
      <c r="O167" s="27">
        <f t="shared" si="29"/>
        <v>515789</v>
      </c>
      <c r="P167" s="58"/>
    </row>
    <row r="168" spans="1:16" s="10" customFormat="1" ht="15.6" x14ac:dyDescent="0.3">
      <c r="A168" s="37" t="s">
        <v>137</v>
      </c>
      <c r="B168" s="49" t="s">
        <v>567</v>
      </c>
      <c r="C168" s="37">
        <f>C169+C170</f>
        <v>437813</v>
      </c>
      <c r="D168" s="37">
        <f t="shared" ref="D168:K168" si="36">D169+D170</f>
        <v>311000</v>
      </c>
      <c r="E168" s="37">
        <f t="shared" si="36"/>
        <v>0</v>
      </c>
      <c r="F168" s="37">
        <f>F169+F170+305+11126</f>
        <v>22830</v>
      </c>
      <c r="G168" s="37">
        <f t="shared" si="36"/>
        <v>6765</v>
      </c>
      <c r="H168" s="37">
        <f t="shared" si="36"/>
        <v>0</v>
      </c>
      <c r="I168" s="37">
        <f>I169+I170+18604</f>
        <v>606732</v>
      </c>
      <c r="J168" s="37">
        <f>J169+J170</f>
        <v>571002</v>
      </c>
      <c r="K168" s="37">
        <f t="shared" si="36"/>
        <v>0</v>
      </c>
      <c r="L168" s="37">
        <f>L169+L170+1220+220-4200</f>
        <v>9350</v>
      </c>
      <c r="M168" s="37">
        <f>M169+M170</f>
        <v>0</v>
      </c>
      <c r="N168" s="37">
        <f>N169+N170</f>
        <v>0</v>
      </c>
      <c r="O168" s="27">
        <f t="shared" si="29"/>
        <v>1076725</v>
      </c>
      <c r="P168" s="58"/>
    </row>
    <row r="169" spans="1:16" s="10" customFormat="1" ht="15.75" hidden="1" customHeight="1" x14ac:dyDescent="0.3">
      <c r="A169" s="48" t="s">
        <v>189</v>
      </c>
      <c r="B169" s="33" t="s">
        <v>26</v>
      </c>
      <c r="C169" s="36">
        <f>118700+6396</f>
        <v>125096</v>
      </c>
      <c r="D169" s="36">
        <f>115700</f>
        <v>115700</v>
      </c>
      <c r="E169" s="36"/>
      <c r="F169" s="36">
        <f>11399</f>
        <v>11399</v>
      </c>
      <c r="G169" s="36">
        <f>6765</f>
        <v>6765</v>
      </c>
      <c r="H169" s="36"/>
      <c r="I169" s="36">
        <v>75359</v>
      </c>
      <c r="J169" s="36">
        <v>73075</v>
      </c>
      <c r="K169" s="36"/>
      <c r="L169" s="36">
        <v>12110</v>
      </c>
      <c r="M169" s="36"/>
      <c r="N169" s="36"/>
      <c r="O169" s="27">
        <f t="shared" si="29"/>
        <v>223964</v>
      </c>
      <c r="P169" s="58"/>
    </row>
    <row r="170" spans="1:16" s="10" customFormat="1" ht="15.75" hidden="1" customHeight="1" x14ac:dyDescent="0.3">
      <c r="A170" s="48" t="s">
        <v>190</v>
      </c>
      <c r="B170" s="33" t="s">
        <v>25</v>
      </c>
      <c r="C170" s="36">
        <f>402300-118700+13376+15741</f>
        <v>312717</v>
      </c>
      <c r="D170" s="36">
        <f>311000-115700</f>
        <v>195300</v>
      </c>
      <c r="E170" s="36"/>
      <c r="F170" s="36"/>
      <c r="G170" s="36"/>
      <c r="H170" s="36"/>
      <c r="I170" s="36">
        <v>512769</v>
      </c>
      <c r="J170" s="36">
        <v>497927</v>
      </c>
      <c r="K170" s="36"/>
      <c r="L170" s="36"/>
      <c r="M170" s="36"/>
      <c r="N170" s="36"/>
      <c r="O170" s="27">
        <f t="shared" si="29"/>
        <v>825486</v>
      </c>
      <c r="P170" s="58"/>
    </row>
    <row r="171" spans="1:16" s="10" customFormat="1" ht="15.75" customHeight="1" x14ac:dyDescent="0.3">
      <c r="A171" s="37" t="s">
        <v>138</v>
      </c>
      <c r="B171" s="95" t="s">
        <v>568</v>
      </c>
      <c r="C171" s="37">
        <f>C172+C173</f>
        <v>258406</v>
      </c>
      <c r="D171" s="37">
        <f t="shared" ref="D171:N171" si="37">D172+D173</f>
        <v>294000</v>
      </c>
      <c r="E171" s="37">
        <f t="shared" si="37"/>
        <v>0</v>
      </c>
      <c r="F171" s="37">
        <f t="shared" si="37"/>
        <v>0</v>
      </c>
      <c r="G171" s="37">
        <f t="shared" si="37"/>
        <v>0</v>
      </c>
      <c r="H171" s="37">
        <f t="shared" si="37"/>
        <v>0</v>
      </c>
      <c r="I171" s="37">
        <f t="shared" si="37"/>
        <v>277116</v>
      </c>
      <c r="J171" s="37">
        <f>J172+J173</f>
        <v>378466</v>
      </c>
      <c r="K171" s="37">
        <f t="shared" si="37"/>
        <v>0</v>
      </c>
      <c r="L171" s="37">
        <f t="shared" si="37"/>
        <v>11843</v>
      </c>
      <c r="M171" s="37">
        <f t="shared" si="37"/>
        <v>0</v>
      </c>
      <c r="N171" s="37">
        <f t="shared" si="37"/>
        <v>0</v>
      </c>
      <c r="O171" s="27">
        <f t="shared" si="29"/>
        <v>547365</v>
      </c>
      <c r="P171" s="58"/>
    </row>
    <row r="172" spans="1:16" s="10" customFormat="1" ht="15.75" hidden="1" customHeight="1" x14ac:dyDescent="0.3">
      <c r="A172" s="48" t="s">
        <v>81</v>
      </c>
      <c r="B172" s="33" t="s">
        <v>26</v>
      </c>
      <c r="C172" s="36">
        <f>138700+1848-57136</f>
        <v>83412</v>
      </c>
      <c r="D172" s="36">
        <v>136000</v>
      </c>
      <c r="E172" s="36"/>
      <c r="F172" s="36"/>
      <c r="G172" s="36"/>
      <c r="H172" s="36"/>
      <c r="I172" s="36">
        <f>73991-22176</f>
        <v>51815</v>
      </c>
      <c r="J172" s="36">
        <v>71905</v>
      </c>
      <c r="K172" s="36"/>
      <c r="L172" s="36">
        <f>13880-2037</f>
        <v>11843</v>
      </c>
      <c r="M172" s="36"/>
      <c r="N172" s="36"/>
      <c r="O172" s="27">
        <f t="shared" si="29"/>
        <v>147070</v>
      </c>
      <c r="P172" s="58"/>
    </row>
    <row r="173" spans="1:16" s="10" customFormat="1" ht="15.75" hidden="1" customHeight="1" x14ac:dyDescent="0.3">
      <c r="A173" s="48" t="s">
        <v>82</v>
      </c>
      <c r="B173" s="33" t="s">
        <v>25</v>
      </c>
      <c r="C173" s="36">
        <f>356100-138700+10749+11051-64206</f>
        <v>174994</v>
      </c>
      <c r="D173" s="36">
        <f>294000-136000</f>
        <v>158000</v>
      </c>
      <c r="E173" s="36"/>
      <c r="F173" s="36"/>
      <c r="G173" s="36"/>
      <c r="H173" s="36"/>
      <c r="I173" s="36">
        <f>315226-89925</f>
        <v>225301</v>
      </c>
      <c r="J173" s="36">
        <v>306561</v>
      </c>
      <c r="K173" s="36"/>
      <c r="L173" s="36"/>
      <c r="M173" s="36"/>
      <c r="N173" s="36"/>
      <c r="O173" s="27">
        <f t="shared" si="29"/>
        <v>400295</v>
      </c>
      <c r="P173" s="58"/>
    </row>
    <row r="174" spans="1:16" s="10" customFormat="1" ht="15.75" customHeight="1" x14ac:dyDescent="0.3">
      <c r="A174" s="37" t="s">
        <v>139</v>
      </c>
      <c r="B174" s="89" t="s">
        <v>569</v>
      </c>
      <c r="C174" s="37">
        <f>C175+C176</f>
        <v>571879</v>
      </c>
      <c r="D174" s="37">
        <f t="shared" ref="D174:K174" si="38">D175+D176</f>
        <v>491000</v>
      </c>
      <c r="E174" s="37">
        <f t="shared" si="38"/>
        <v>0</v>
      </c>
      <c r="F174" s="37">
        <f>F175+F176+1098+5563</f>
        <v>25662</v>
      </c>
      <c r="G174" s="37">
        <f t="shared" si="38"/>
        <v>8000</v>
      </c>
      <c r="H174" s="37">
        <f t="shared" si="38"/>
        <v>0</v>
      </c>
      <c r="I174" s="37">
        <f>I175+I176+2651</f>
        <v>441314</v>
      </c>
      <c r="J174" s="37">
        <f>J175+J176</f>
        <v>423456</v>
      </c>
      <c r="K174" s="37">
        <f t="shared" si="38"/>
        <v>0</v>
      </c>
      <c r="L174" s="37">
        <f>L175+L176-13888</f>
        <v>45192</v>
      </c>
      <c r="M174" s="37">
        <f>M175+M176</f>
        <v>0</v>
      </c>
      <c r="N174" s="37">
        <f>N175+N176</f>
        <v>0</v>
      </c>
      <c r="O174" s="27">
        <f t="shared" si="29"/>
        <v>1084047</v>
      </c>
      <c r="P174" s="58"/>
    </row>
    <row r="175" spans="1:16" s="10" customFormat="1" ht="15.75" hidden="1" customHeight="1" x14ac:dyDescent="0.3">
      <c r="A175" s="48" t="s">
        <v>84</v>
      </c>
      <c r="B175" s="33" t="s">
        <v>26</v>
      </c>
      <c r="C175" s="36">
        <f>560800-62600+9916+342</f>
        <v>508458</v>
      </c>
      <c r="D175" s="36">
        <f>491000-49000</f>
        <v>442000</v>
      </c>
      <c r="E175" s="36"/>
      <c r="F175" s="36">
        <f>15199+2160</f>
        <v>17359</v>
      </c>
      <c r="G175" s="36">
        <f>8000</f>
        <v>8000</v>
      </c>
      <c r="H175" s="36"/>
      <c r="I175" s="36">
        <v>269865</v>
      </c>
      <c r="J175" s="36">
        <v>261682</v>
      </c>
      <c r="K175" s="36"/>
      <c r="L175" s="36">
        <v>55620</v>
      </c>
      <c r="M175" s="36"/>
      <c r="N175" s="36"/>
      <c r="O175" s="27">
        <f t="shared" si="29"/>
        <v>851302</v>
      </c>
      <c r="P175" s="58"/>
    </row>
    <row r="176" spans="1:16" s="10" customFormat="1" ht="15.75" hidden="1" customHeight="1" x14ac:dyDescent="0.3">
      <c r="A176" s="48" t="s">
        <v>85</v>
      </c>
      <c r="B176" s="33" t="s">
        <v>25</v>
      </c>
      <c r="C176" s="36">
        <f>62600+821</f>
        <v>63421</v>
      </c>
      <c r="D176" s="36">
        <v>49000</v>
      </c>
      <c r="E176" s="36"/>
      <c r="F176" s="36">
        <f>1642</f>
        <v>1642</v>
      </c>
      <c r="G176" s="36"/>
      <c r="H176" s="36"/>
      <c r="I176" s="36">
        <v>168798</v>
      </c>
      <c r="J176" s="36">
        <v>161774</v>
      </c>
      <c r="K176" s="36"/>
      <c r="L176" s="36">
        <v>3460</v>
      </c>
      <c r="M176" s="36"/>
      <c r="N176" s="36"/>
      <c r="O176" s="27">
        <f t="shared" si="29"/>
        <v>237321</v>
      </c>
      <c r="P176" s="58"/>
    </row>
    <row r="177" spans="1:16" s="10" customFormat="1" ht="15.75" customHeight="1" x14ac:dyDescent="0.3">
      <c r="A177" s="37" t="s">
        <v>140</v>
      </c>
      <c r="B177" s="49" t="s">
        <v>570</v>
      </c>
      <c r="C177" s="37">
        <f t="shared" ref="C177:N177" si="39">C178+C179</f>
        <v>819282</v>
      </c>
      <c r="D177" s="37">
        <f t="shared" si="39"/>
        <v>737900</v>
      </c>
      <c r="E177" s="37">
        <f t="shared" si="39"/>
        <v>0</v>
      </c>
      <c r="F177" s="37">
        <f>F178+F179+2161+8344</f>
        <v>36556</v>
      </c>
      <c r="G177" s="37">
        <f t="shared" si="39"/>
        <v>2215</v>
      </c>
      <c r="H177" s="37">
        <f t="shared" si="39"/>
        <v>0</v>
      </c>
      <c r="I177" s="37">
        <f>I178+I179+36592</f>
        <v>604838</v>
      </c>
      <c r="J177" s="37">
        <f t="shared" si="39"/>
        <v>550295</v>
      </c>
      <c r="K177" s="37">
        <f t="shared" si="39"/>
        <v>0</v>
      </c>
      <c r="L177" s="116">
        <f>L178+L179+7000</f>
        <v>114060</v>
      </c>
      <c r="M177" s="37">
        <f t="shared" si="39"/>
        <v>0</v>
      </c>
      <c r="N177" s="37">
        <f t="shared" si="39"/>
        <v>0</v>
      </c>
      <c r="O177" s="27">
        <f>C177+F177+I177+L177</f>
        <v>1574736</v>
      </c>
      <c r="P177" s="58"/>
    </row>
    <row r="178" spans="1:16" s="10" customFormat="1" ht="15.75" hidden="1" customHeight="1" x14ac:dyDescent="0.3">
      <c r="A178" s="48" t="s">
        <v>292</v>
      </c>
      <c r="B178" s="33" t="s">
        <v>26</v>
      </c>
      <c r="C178" s="36">
        <f>830600-16000-35510+3356+1326</f>
        <v>783772</v>
      </c>
      <c r="D178" s="36">
        <f>737900-35000</f>
        <v>702900</v>
      </c>
      <c r="E178" s="36"/>
      <c r="F178" s="36">
        <f>3800+16000+3600+2651</f>
        <v>26051</v>
      </c>
      <c r="G178" s="36">
        <f>2215</f>
        <v>2215</v>
      </c>
      <c r="H178" s="36"/>
      <c r="I178" s="36">
        <v>476217</v>
      </c>
      <c r="J178" s="36">
        <v>460304</v>
      </c>
      <c r="K178" s="37"/>
      <c r="L178" s="36">
        <f>1500+85100+20460</f>
        <v>107060</v>
      </c>
      <c r="M178" s="36"/>
      <c r="N178" s="36"/>
      <c r="O178" s="27">
        <f>C178+F178+I178+L178</f>
        <v>1393100</v>
      </c>
      <c r="P178" s="58"/>
    </row>
    <row r="179" spans="1:16" s="10" customFormat="1" ht="15.75" hidden="1" customHeight="1" x14ac:dyDescent="0.3">
      <c r="A179" s="48" t="s">
        <v>293</v>
      </c>
      <c r="B179" s="33" t="s">
        <v>25</v>
      </c>
      <c r="C179" s="36">
        <v>35510</v>
      </c>
      <c r="D179" s="36">
        <v>35000</v>
      </c>
      <c r="E179" s="36"/>
      <c r="F179" s="36"/>
      <c r="G179" s="36"/>
      <c r="H179" s="36"/>
      <c r="I179" s="36">
        <v>92029</v>
      </c>
      <c r="J179" s="36">
        <v>89991</v>
      </c>
      <c r="K179" s="36"/>
      <c r="L179" s="36"/>
      <c r="M179" s="36"/>
      <c r="N179" s="36"/>
      <c r="O179" s="27">
        <f>C179+F179+I179+L179</f>
        <v>127539</v>
      </c>
      <c r="P179" s="58"/>
    </row>
    <row r="180" spans="1:16" s="10" customFormat="1" ht="15.75" customHeight="1" x14ac:dyDescent="0.3">
      <c r="A180" s="37" t="s">
        <v>141</v>
      </c>
      <c r="B180" s="89" t="s">
        <v>18</v>
      </c>
      <c r="C180" s="37">
        <f>813000+5003</f>
        <v>818003</v>
      </c>
      <c r="D180" s="37">
        <v>734000</v>
      </c>
      <c r="E180" s="37"/>
      <c r="F180" s="37">
        <f>30397+720+2260+8344</f>
        <v>41721</v>
      </c>
      <c r="G180" s="37">
        <f>9956</f>
        <v>9956</v>
      </c>
      <c r="H180" s="37"/>
      <c r="I180" s="37">
        <v>520690</v>
      </c>
      <c r="J180" s="37">
        <v>503396</v>
      </c>
      <c r="K180" s="37"/>
      <c r="L180" s="37">
        <f>130+142130-30000</f>
        <v>112260</v>
      </c>
      <c r="M180" s="37"/>
      <c r="N180" s="37"/>
      <c r="O180" s="27">
        <f t="shared" si="29"/>
        <v>1492674</v>
      </c>
      <c r="P180" s="58"/>
    </row>
    <row r="181" spans="1:16" s="10" customFormat="1" ht="15.75" customHeight="1" x14ac:dyDescent="0.3">
      <c r="A181" s="37" t="s">
        <v>142</v>
      </c>
      <c r="B181" s="49" t="s">
        <v>35</v>
      </c>
      <c r="C181" s="37">
        <v>681300</v>
      </c>
      <c r="D181" s="37">
        <v>648000</v>
      </c>
      <c r="E181" s="37"/>
      <c r="F181" s="37">
        <f>2236</f>
        <v>2236</v>
      </c>
      <c r="G181" s="37"/>
      <c r="H181" s="37"/>
      <c r="I181" s="37">
        <f>54900+4510</f>
        <v>59410</v>
      </c>
      <c r="J181" s="37">
        <v>54115</v>
      </c>
      <c r="K181" s="37"/>
      <c r="L181" s="37">
        <v>53860</v>
      </c>
      <c r="M181" s="37">
        <v>23000</v>
      </c>
      <c r="N181" s="37"/>
      <c r="O181" s="27">
        <f t="shared" si="29"/>
        <v>796806</v>
      </c>
      <c r="P181" s="58"/>
    </row>
    <row r="182" spans="1:16" s="10" customFormat="1" ht="30.75" customHeight="1" x14ac:dyDescent="0.3">
      <c r="A182" s="37" t="s">
        <v>143</v>
      </c>
      <c r="B182" s="49" t="s">
        <v>424</v>
      </c>
      <c r="C182" s="37">
        <f>183600+4890+310</f>
        <v>188800</v>
      </c>
      <c r="D182" s="37">
        <v>152000</v>
      </c>
      <c r="E182" s="37"/>
      <c r="F182" s="37">
        <v>51979</v>
      </c>
      <c r="G182" s="37">
        <v>51237</v>
      </c>
      <c r="H182" s="37"/>
      <c r="I182" s="37">
        <f>116983+12413</f>
        <v>129396</v>
      </c>
      <c r="J182" s="37">
        <v>115312</v>
      </c>
      <c r="K182" s="37"/>
      <c r="L182" s="116">
        <f>11170+23580-3200+16800+3850</f>
        <v>52200</v>
      </c>
      <c r="M182" s="37">
        <v>1670</v>
      </c>
      <c r="N182" s="37"/>
      <c r="O182" s="27">
        <f t="shared" si="29"/>
        <v>422375</v>
      </c>
      <c r="P182" s="58"/>
    </row>
    <row r="183" spans="1:16" s="12" customFormat="1" ht="18" customHeight="1" x14ac:dyDescent="0.3">
      <c r="A183" s="37" t="s">
        <v>144</v>
      </c>
      <c r="B183" s="41" t="s">
        <v>34</v>
      </c>
      <c r="C183" s="37">
        <f>SUM(C184:E196)</f>
        <v>736800</v>
      </c>
      <c r="D183" s="37">
        <f t="shared" ref="D183:N183" si="40">SUM(D184:D194)</f>
        <v>0</v>
      </c>
      <c r="E183" s="37">
        <f t="shared" si="40"/>
        <v>0</v>
      </c>
      <c r="F183" s="37">
        <f>SUM(F184:F196)</f>
        <v>689987</v>
      </c>
      <c r="G183" s="37">
        <f>SUM(G184:I195)</f>
        <v>0</v>
      </c>
      <c r="H183" s="37">
        <f>SUM(H184:J195)</f>
        <v>195370</v>
      </c>
      <c r="I183" s="37">
        <f>SUM(I184:I196)</f>
        <v>0</v>
      </c>
      <c r="J183" s="37">
        <f t="shared" si="40"/>
        <v>195370</v>
      </c>
      <c r="K183" s="37">
        <f t="shared" si="40"/>
        <v>0</v>
      </c>
      <c r="L183" s="37">
        <f>SUM(L184:L196)</f>
        <v>0</v>
      </c>
      <c r="M183" s="37">
        <f t="shared" si="40"/>
        <v>0</v>
      </c>
      <c r="N183" s="37">
        <f t="shared" si="40"/>
        <v>0</v>
      </c>
      <c r="O183" s="27">
        <f>C183+F183+I183+L183</f>
        <v>1426787</v>
      </c>
      <c r="P183" s="58"/>
    </row>
    <row r="184" spans="1:16" s="10" customFormat="1" ht="15" customHeight="1" x14ac:dyDescent="0.3">
      <c r="A184" s="48" t="s">
        <v>312</v>
      </c>
      <c r="B184" s="33" t="s">
        <v>31</v>
      </c>
      <c r="C184" s="114">
        <f>380000+166000+34600</f>
        <v>580600</v>
      </c>
      <c r="D184" s="36"/>
      <c r="E184" s="36"/>
      <c r="F184" s="37"/>
      <c r="G184" s="36"/>
      <c r="H184" s="36"/>
      <c r="I184" s="37"/>
      <c r="J184" s="37"/>
      <c r="K184" s="36"/>
      <c r="L184" s="37"/>
      <c r="M184" s="36"/>
      <c r="N184" s="36"/>
      <c r="O184" s="27">
        <f t="shared" si="29"/>
        <v>580600</v>
      </c>
      <c r="P184" s="58"/>
    </row>
    <row r="185" spans="1:16" s="10" customFormat="1" ht="28.5" customHeight="1" x14ac:dyDescent="0.3">
      <c r="A185" s="48" t="s">
        <v>313</v>
      </c>
      <c r="B185" s="33" t="s">
        <v>184</v>
      </c>
      <c r="C185" s="36">
        <f>14000+1293</f>
        <v>15293</v>
      </c>
      <c r="D185" s="36"/>
      <c r="E185" s="36"/>
      <c r="F185" s="37"/>
      <c r="G185" s="36"/>
      <c r="H185" s="36"/>
      <c r="I185" s="37"/>
      <c r="J185" s="37"/>
      <c r="K185" s="36"/>
      <c r="L185" s="37"/>
      <c r="M185" s="36"/>
      <c r="N185" s="36"/>
      <c r="O185" s="27">
        <f t="shared" si="29"/>
        <v>15293</v>
      </c>
      <c r="P185" s="58"/>
    </row>
    <row r="186" spans="1:16" s="13" customFormat="1" ht="27.75" customHeight="1" x14ac:dyDescent="0.25">
      <c r="A186" s="48" t="s">
        <v>314</v>
      </c>
      <c r="B186" s="33" t="s">
        <v>152</v>
      </c>
      <c r="C186" s="36">
        <v>9000</v>
      </c>
      <c r="D186" s="36"/>
      <c r="E186" s="38"/>
      <c r="F186" s="39"/>
      <c r="G186" s="38"/>
      <c r="H186" s="38"/>
      <c r="I186" s="39"/>
      <c r="J186" s="39"/>
      <c r="K186" s="38"/>
      <c r="L186" s="39"/>
      <c r="M186" s="38"/>
      <c r="N186" s="38"/>
      <c r="O186" s="27">
        <f t="shared" si="29"/>
        <v>9000</v>
      </c>
      <c r="P186" s="60"/>
    </row>
    <row r="187" spans="1:16" s="13" customFormat="1" ht="17.25" customHeight="1" x14ac:dyDescent="0.25">
      <c r="A187" s="48" t="s">
        <v>315</v>
      </c>
      <c r="B187" s="33" t="s">
        <v>197</v>
      </c>
      <c r="C187" s="36"/>
      <c r="D187" s="36"/>
      <c r="E187" s="38"/>
      <c r="F187" s="36">
        <f>142200-4060</f>
        <v>138140</v>
      </c>
      <c r="G187" s="38"/>
      <c r="H187" s="38"/>
      <c r="I187" s="39"/>
      <c r="J187" s="39"/>
      <c r="K187" s="38"/>
      <c r="L187" s="39"/>
      <c r="M187" s="38"/>
      <c r="N187" s="38"/>
      <c r="O187" s="27">
        <f t="shared" si="29"/>
        <v>138140</v>
      </c>
      <c r="P187" s="60"/>
    </row>
    <row r="188" spans="1:16" s="10" customFormat="1" ht="29.25" customHeight="1" x14ac:dyDescent="0.3">
      <c r="A188" s="52" t="s">
        <v>316</v>
      </c>
      <c r="B188" s="33" t="s">
        <v>368</v>
      </c>
      <c r="C188" s="36">
        <f>12000-1293</f>
        <v>10707</v>
      </c>
      <c r="D188" s="36"/>
      <c r="E188" s="36"/>
      <c r="F188" s="36"/>
      <c r="G188" s="36"/>
      <c r="H188" s="36"/>
      <c r="I188" s="37"/>
      <c r="J188" s="36"/>
      <c r="K188" s="36"/>
      <c r="L188" s="37"/>
      <c r="M188" s="36"/>
      <c r="N188" s="36"/>
      <c r="O188" s="27">
        <f t="shared" si="29"/>
        <v>10707</v>
      </c>
      <c r="P188" s="58"/>
    </row>
    <row r="189" spans="1:16" s="10" customFormat="1" ht="16.5" customHeight="1" x14ac:dyDescent="0.3">
      <c r="A189" s="48" t="s">
        <v>317</v>
      </c>
      <c r="B189" s="33" t="s">
        <v>319</v>
      </c>
      <c r="C189" s="36">
        <v>90000</v>
      </c>
      <c r="D189" s="36"/>
      <c r="E189" s="36"/>
      <c r="F189" s="36"/>
      <c r="G189" s="36"/>
      <c r="H189" s="36"/>
      <c r="I189" s="37"/>
      <c r="J189" s="36"/>
      <c r="K189" s="36"/>
      <c r="L189" s="37"/>
      <c r="M189" s="36"/>
      <c r="N189" s="36"/>
      <c r="O189" s="27">
        <f t="shared" si="29"/>
        <v>90000</v>
      </c>
      <c r="P189" s="58"/>
    </row>
    <row r="190" spans="1:16" s="10" customFormat="1" ht="15" customHeight="1" x14ac:dyDescent="0.3">
      <c r="A190" s="48" t="s">
        <v>318</v>
      </c>
      <c r="B190" s="33" t="s">
        <v>370</v>
      </c>
      <c r="C190" s="36">
        <v>11000</v>
      </c>
      <c r="D190" s="36"/>
      <c r="E190" s="36"/>
      <c r="F190" s="37"/>
      <c r="G190" s="36"/>
      <c r="H190" s="36"/>
      <c r="I190" s="37"/>
      <c r="J190" s="37"/>
      <c r="K190" s="36"/>
      <c r="L190" s="37"/>
      <c r="M190" s="36"/>
      <c r="N190" s="36"/>
      <c r="O190" s="27">
        <f t="shared" ref="O190:O194" si="41">C190+F190+I190+L190</f>
        <v>11000</v>
      </c>
      <c r="P190" s="58"/>
    </row>
    <row r="191" spans="1:16" s="10" customFormat="1" ht="16.5" customHeight="1" x14ac:dyDescent="0.3">
      <c r="A191" s="48" t="s">
        <v>369</v>
      </c>
      <c r="B191" s="33" t="s">
        <v>351</v>
      </c>
      <c r="C191" s="36">
        <f>27000-6800</f>
        <v>20200</v>
      </c>
      <c r="D191" s="36"/>
      <c r="E191" s="36"/>
      <c r="F191" s="37"/>
      <c r="G191" s="36"/>
      <c r="H191" s="36"/>
      <c r="I191" s="37"/>
      <c r="J191" s="37"/>
      <c r="K191" s="36"/>
      <c r="L191" s="37"/>
      <c r="M191" s="36"/>
      <c r="N191" s="36"/>
      <c r="O191" s="27">
        <f t="shared" si="41"/>
        <v>20200</v>
      </c>
      <c r="P191" s="58"/>
    </row>
    <row r="192" spans="1:16" s="10" customFormat="1" ht="17.25" customHeight="1" x14ac:dyDescent="0.3">
      <c r="A192" s="48" t="s">
        <v>320</v>
      </c>
      <c r="B192" s="33" t="s">
        <v>371</v>
      </c>
      <c r="C192" s="36"/>
      <c r="D192" s="36"/>
      <c r="E192" s="36"/>
      <c r="F192" s="37"/>
      <c r="G192" s="36"/>
      <c r="H192" s="36"/>
      <c r="I192" s="37">
        <f>195370-195370</f>
        <v>0</v>
      </c>
      <c r="J192" s="36">
        <v>195370</v>
      </c>
      <c r="K192" s="36"/>
      <c r="L192" s="37"/>
      <c r="M192" s="36"/>
      <c r="N192" s="36"/>
      <c r="O192" s="27">
        <f t="shared" si="41"/>
        <v>0</v>
      </c>
      <c r="P192" s="58"/>
    </row>
    <row r="193" spans="1:16" s="10" customFormat="1" ht="31.5" customHeight="1" x14ac:dyDescent="0.3">
      <c r="A193" s="48" t="s">
        <v>425</v>
      </c>
      <c r="B193" s="33" t="s">
        <v>391</v>
      </c>
      <c r="C193" s="36"/>
      <c r="D193" s="36"/>
      <c r="E193" s="36"/>
      <c r="F193" s="37">
        <f>10559+1259</f>
        <v>11818</v>
      </c>
      <c r="G193" s="36"/>
      <c r="H193" s="36"/>
      <c r="I193" s="37"/>
      <c r="J193" s="36"/>
      <c r="K193" s="36"/>
      <c r="L193" s="37"/>
      <c r="M193" s="36"/>
      <c r="N193" s="36"/>
      <c r="O193" s="27">
        <f t="shared" si="41"/>
        <v>11818</v>
      </c>
      <c r="P193" s="58"/>
    </row>
    <row r="194" spans="1:16" s="10" customFormat="1" ht="17.25" customHeight="1" x14ac:dyDescent="0.3">
      <c r="A194" s="48" t="s">
        <v>372</v>
      </c>
      <c r="B194" s="33" t="s">
        <v>461</v>
      </c>
      <c r="C194" s="36"/>
      <c r="D194" s="36"/>
      <c r="E194" s="36"/>
      <c r="F194" s="37">
        <f>40334+247389+220153</f>
        <v>507876</v>
      </c>
      <c r="G194" s="36"/>
      <c r="H194" s="36"/>
      <c r="I194" s="37"/>
      <c r="J194" s="36"/>
      <c r="K194" s="36"/>
      <c r="L194" s="37"/>
      <c r="M194" s="36"/>
      <c r="N194" s="36"/>
      <c r="O194" s="27">
        <f t="shared" si="41"/>
        <v>507876</v>
      </c>
      <c r="P194" s="58"/>
    </row>
    <row r="195" spans="1:16" s="10" customFormat="1" ht="31.5" customHeight="1" x14ac:dyDescent="0.3">
      <c r="A195" s="48" t="s">
        <v>517</v>
      </c>
      <c r="B195" s="33" t="s">
        <v>518</v>
      </c>
      <c r="C195" s="36"/>
      <c r="D195" s="36"/>
      <c r="E195" s="36"/>
      <c r="F195" s="37">
        <f>6749-6749</f>
        <v>0</v>
      </c>
      <c r="G195" s="36"/>
      <c r="H195" s="36"/>
      <c r="I195" s="37"/>
      <c r="J195" s="36"/>
      <c r="K195" s="36"/>
      <c r="L195" s="37"/>
      <c r="M195" s="36"/>
      <c r="N195" s="36"/>
      <c r="O195" s="27">
        <f>C195+F195+I195+L195</f>
        <v>0</v>
      </c>
      <c r="P195" s="58"/>
    </row>
    <row r="196" spans="1:16" s="10" customFormat="1" ht="31.5" customHeight="1" x14ac:dyDescent="0.3">
      <c r="A196" s="48" t="s">
        <v>590</v>
      </c>
      <c r="B196" s="119" t="s">
        <v>591</v>
      </c>
      <c r="C196" s="36"/>
      <c r="D196" s="36"/>
      <c r="E196" s="36"/>
      <c r="F196" s="116">
        <v>32153</v>
      </c>
      <c r="G196" s="36"/>
      <c r="H196" s="36"/>
      <c r="I196" s="37"/>
      <c r="J196" s="36"/>
      <c r="K196" s="36"/>
      <c r="L196" s="37"/>
      <c r="M196" s="36"/>
      <c r="N196" s="36"/>
      <c r="O196" s="27">
        <f>C196+F196+I196+L196</f>
        <v>32153</v>
      </c>
      <c r="P196" s="58"/>
    </row>
    <row r="197" spans="1:16" s="9" customFormat="1" ht="15.75" customHeight="1" x14ac:dyDescent="0.25">
      <c r="A197" s="27" t="s">
        <v>145</v>
      </c>
      <c r="B197" s="41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7"/>
    </row>
    <row r="198" spans="1:16" s="10" customFormat="1" ht="29.25" customHeight="1" x14ac:dyDescent="0.3">
      <c r="A198" s="48" t="s">
        <v>294</v>
      </c>
      <c r="B198" s="33" t="s">
        <v>462</v>
      </c>
      <c r="C198" s="36">
        <v>220000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7">
        <f t="shared" si="29"/>
        <v>220000</v>
      </c>
      <c r="P198" s="58"/>
    </row>
    <row r="199" spans="1:16" s="10" customFormat="1" ht="16.5" customHeight="1" x14ac:dyDescent="0.3">
      <c r="A199" s="48" t="s">
        <v>295</v>
      </c>
      <c r="B199" s="33" t="s">
        <v>463</v>
      </c>
      <c r="C199" s="36">
        <v>20000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7">
        <f t="shared" si="29"/>
        <v>20000</v>
      </c>
      <c r="P199" s="58"/>
    </row>
    <row r="200" spans="1:16" s="10" customFormat="1" ht="15.75" customHeight="1" x14ac:dyDescent="0.3">
      <c r="A200" s="48" t="s">
        <v>296</v>
      </c>
      <c r="B200" s="33" t="s">
        <v>464</v>
      </c>
      <c r="C200" s="36">
        <v>20000</v>
      </c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7">
        <f t="shared" si="29"/>
        <v>20000</v>
      </c>
      <c r="P200" s="58"/>
    </row>
    <row r="201" spans="1:16" s="10" customFormat="1" ht="15.75" customHeight="1" x14ac:dyDescent="0.3">
      <c r="A201" s="48" t="s">
        <v>465</v>
      </c>
      <c r="B201" s="33" t="s">
        <v>466</v>
      </c>
      <c r="C201" s="36">
        <v>10000</v>
      </c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7">
        <f t="shared" si="29"/>
        <v>10000</v>
      </c>
      <c r="P201" s="58"/>
    </row>
    <row r="202" spans="1:16" s="10" customFormat="1" ht="15.75" customHeight="1" x14ac:dyDescent="0.3">
      <c r="A202" s="48" t="s">
        <v>467</v>
      </c>
      <c r="B202" s="33" t="s">
        <v>468</v>
      </c>
      <c r="C202" s="36">
        <v>10000</v>
      </c>
      <c r="D202" s="36"/>
      <c r="E202" s="36"/>
      <c r="F202" s="37"/>
      <c r="G202" s="36"/>
      <c r="H202" s="36"/>
      <c r="I202" s="37"/>
      <c r="J202" s="37"/>
      <c r="K202" s="36"/>
      <c r="L202" s="37"/>
      <c r="M202" s="36"/>
      <c r="N202" s="36"/>
      <c r="O202" s="27">
        <f t="shared" si="29"/>
        <v>10000</v>
      </c>
      <c r="P202" s="58"/>
    </row>
    <row r="203" spans="1:16" s="10" customFormat="1" ht="15.75" customHeight="1" x14ac:dyDescent="0.3">
      <c r="A203" s="48" t="s">
        <v>469</v>
      </c>
      <c r="B203" s="33" t="s">
        <v>470</v>
      </c>
      <c r="C203" s="36">
        <f>400000-132713-267287</f>
        <v>0</v>
      </c>
      <c r="D203" s="36"/>
      <c r="E203" s="36"/>
      <c r="F203" s="37"/>
      <c r="G203" s="36"/>
      <c r="H203" s="36"/>
      <c r="I203" s="37"/>
      <c r="J203" s="37"/>
      <c r="K203" s="36"/>
      <c r="L203" s="37"/>
      <c r="M203" s="36"/>
      <c r="N203" s="36"/>
      <c r="O203" s="27">
        <f>C203+F203+I203+L203</f>
        <v>0</v>
      </c>
      <c r="P203" s="58"/>
    </row>
    <row r="204" spans="1:16" s="1" customFormat="1" ht="32.25" customHeight="1" x14ac:dyDescent="0.3">
      <c r="A204" s="45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</row>
    <row r="205" spans="1:16" s="7" customFormat="1" ht="15.75" customHeight="1" x14ac:dyDescent="0.25">
      <c r="A205" s="29"/>
      <c r="B205" s="41" t="s">
        <v>27</v>
      </c>
      <c r="C205" s="37">
        <f t="shared" ref="C205:N205" si="43">C206+C250+C249</f>
        <v>7109505</v>
      </c>
      <c r="D205" s="37">
        <f t="shared" si="43"/>
        <v>2119560</v>
      </c>
      <c r="E205" s="37">
        <f t="shared" si="43"/>
        <v>0</v>
      </c>
      <c r="F205" s="37">
        <f>F206+F250+F249</f>
        <v>3029754</v>
      </c>
      <c r="G205" s="37">
        <f t="shared" si="43"/>
        <v>534560</v>
      </c>
      <c r="H205" s="37">
        <f t="shared" si="43"/>
        <v>0</v>
      </c>
      <c r="I205" s="37">
        <f>I206+I250+I249</f>
        <v>0</v>
      </c>
      <c r="J205" s="37">
        <f t="shared" si="43"/>
        <v>0</v>
      </c>
      <c r="K205" s="37">
        <f t="shared" si="43"/>
        <v>0</v>
      </c>
      <c r="L205" s="37">
        <f t="shared" si="43"/>
        <v>343324</v>
      </c>
      <c r="M205" s="37">
        <f t="shared" si="43"/>
        <v>326293</v>
      </c>
      <c r="N205" s="37">
        <f t="shared" si="43"/>
        <v>0</v>
      </c>
      <c r="O205" s="37">
        <f>C205+F205+I205+L205</f>
        <v>10482583</v>
      </c>
      <c r="P205" s="57"/>
    </row>
    <row r="206" spans="1:16" s="2" customFormat="1" ht="15.75" customHeight="1" x14ac:dyDescent="0.3">
      <c r="A206" s="27" t="s">
        <v>146</v>
      </c>
      <c r="B206" s="41" t="s">
        <v>34</v>
      </c>
      <c r="C206" s="27">
        <f>SUM(C207:C248)</f>
        <v>6530518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2993765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9524283</v>
      </c>
      <c r="P206" s="17"/>
    </row>
    <row r="207" spans="1:16" s="10" customFormat="1" ht="15.75" customHeight="1" x14ac:dyDescent="0.3">
      <c r="A207" s="48" t="s">
        <v>297</v>
      </c>
      <c r="B207" s="33" t="s">
        <v>14</v>
      </c>
      <c r="C207" s="114">
        <f>1660000+65000</f>
        <v>1725000</v>
      </c>
      <c r="D207" s="36"/>
      <c r="E207" s="36"/>
      <c r="F207" s="114">
        <f>11421+13593+12188+11482</f>
        <v>48684</v>
      </c>
      <c r="G207" s="36"/>
      <c r="H207" s="36"/>
      <c r="I207" s="36"/>
      <c r="J207" s="36"/>
      <c r="K207" s="36"/>
      <c r="L207" s="36"/>
      <c r="M207" s="36"/>
      <c r="N207" s="36"/>
      <c r="O207" s="27">
        <f>C207+F207+I207+L207</f>
        <v>1773684</v>
      </c>
      <c r="P207" s="58"/>
    </row>
    <row r="208" spans="1:16" s="10" customFormat="1" ht="15.75" customHeight="1" x14ac:dyDescent="0.3">
      <c r="A208" s="48" t="s">
        <v>298</v>
      </c>
      <c r="B208" s="33" t="s">
        <v>321</v>
      </c>
      <c r="C208" s="36">
        <v>144000</v>
      </c>
      <c r="D208" s="36"/>
      <c r="E208" s="36"/>
      <c r="F208" s="36">
        <f>100</f>
        <v>100</v>
      </c>
      <c r="G208" s="36"/>
      <c r="H208" s="36"/>
      <c r="I208" s="36"/>
      <c r="J208" s="36"/>
      <c r="K208" s="36"/>
      <c r="L208" s="36"/>
      <c r="M208" s="36"/>
      <c r="N208" s="36"/>
      <c r="O208" s="27">
        <f>C208+F208+I208+L208</f>
        <v>144100</v>
      </c>
      <c r="P208" s="58"/>
    </row>
    <row r="209" spans="1:16" s="10" customFormat="1" ht="15.75" customHeight="1" x14ac:dyDescent="0.3">
      <c r="A209" s="48" t="s">
        <v>299</v>
      </c>
      <c r="B209" s="33" t="s">
        <v>32</v>
      </c>
      <c r="C209" s="114">
        <f>1030000-160000-15000-1800</f>
        <v>853200</v>
      </c>
      <c r="D209" s="36"/>
      <c r="E209" s="36"/>
      <c r="F209" s="114">
        <f>1269+257+141+65+431+150</f>
        <v>2313</v>
      </c>
      <c r="G209" s="36"/>
      <c r="H209" s="36"/>
      <c r="I209" s="36"/>
      <c r="J209" s="36"/>
      <c r="K209" s="36"/>
      <c r="L209" s="36"/>
      <c r="M209" s="36"/>
      <c r="N209" s="36"/>
      <c r="O209" s="27">
        <f>C209+F209+I209+L209</f>
        <v>855513</v>
      </c>
      <c r="P209" s="58"/>
    </row>
    <row r="210" spans="1:16" s="10" customFormat="1" ht="15.75" customHeight="1" x14ac:dyDescent="0.3">
      <c r="A210" s="48" t="s">
        <v>300</v>
      </c>
      <c r="B210" s="33" t="s">
        <v>164</v>
      </c>
      <c r="C210" s="36"/>
      <c r="D210" s="36"/>
      <c r="E210" s="36"/>
      <c r="F210" s="36">
        <f>214700-4400-19100</f>
        <v>191200</v>
      </c>
      <c r="G210" s="36"/>
      <c r="H210" s="36"/>
      <c r="I210" s="36"/>
      <c r="J210" s="36"/>
      <c r="K210" s="36"/>
      <c r="L210" s="36"/>
      <c r="M210" s="36"/>
      <c r="N210" s="36"/>
      <c r="O210" s="27">
        <f t="shared" ref="O210:O249" si="46">C210+F210+I210+L210</f>
        <v>191200</v>
      </c>
      <c r="P210" s="58"/>
    </row>
    <row r="211" spans="1:16" s="10" customFormat="1" ht="15.75" customHeight="1" x14ac:dyDescent="0.3">
      <c r="A211" s="48" t="s">
        <v>301</v>
      </c>
      <c r="B211" s="44" t="s">
        <v>268</v>
      </c>
      <c r="C211" s="36">
        <v>8000</v>
      </c>
      <c r="D211" s="44"/>
      <c r="E211" s="36"/>
      <c r="F211" s="36">
        <v>157500</v>
      </c>
      <c r="G211" s="36"/>
      <c r="H211" s="36"/>
      <c r="I211" s="44"/>
      <c r="J211" s="44"/>
      <c r="K211" s="44"/>
      <c r="L211" s="44"/>
      <c r="M211" s="44"/>
      <c r="N211" s="44"/>
      <c r="O211" s="27">
        <f>C211+F211+I211+L211</f>
        <v>165500</v>
      </c>
      <c r="P211" s="58"/>
    </row>
    <row r="212" spans="1:16" s="10" customFormat="1" ht="15.75" customHeight="1" x14ac:dyDescent="0.3">
      <c r="A212" s="48" t="s">
        <v>302</v>
      </c>
      <c r="B212" s="33" t="s">
        <v>162</v>
      </c>
      <c r="C212" s="36"/>
      <c r="D212" s="36"/>
      <c r="E212" s="36"/>
      <c r="F212" s="114">
        <f>98000-3510</f>
        <v>94490</v>
      </c>
      <c r="G212" s="36"/>
      <c r="H212" s="36"/>
      <c r="I212" s="36"/>
      <c r="J212" s="36"/>
      <c r="K212" s="36"/>
      <c r="L212" s="36"/>
      <c r="M212" s="36"/>
      <c r="N212" s="36"/>
      <c r="O212" s="27">
        <f t="shared" si="46"/>
        <v>94490</v>
      </c>
      <c r="P212" s="58"/>
    </row>
    <row r="213" spans="1:16" s="10" customFormat="1" ht="15.75" customHeight="1" x14ac:dyDescent="0.3">
      <c r="A213" s="48" t="s">
        <v>303</v>
      </c>
      <c r="B213" s="33" t="s">
        <v>33</v>
      </c>
      <c r="C213" s="36"/>
      <c r="D213" s="36"/>
      <c r="E213" s="36"/>
      <c r="F213" s="114">
        <f>382800+2042+2138+2664+8510+2899</f>
        <v>401053</v>
      </c>
      <c r="G213" s="36"/>
      <c r="H213" s="36"/>
      <c r="I213" s="36"/>
      <c r="J213" s="36"/>
      <c r="K213" s="36"/>
      <c r="L213" s="36"/>
      <c r="M213" s="36"/>
      <c r="N213" s="36"/>
      <c r="O213" s="27">
        <f t="shared" si="46"/>
        <v>401053</v>
      </c>
      <c r="P213" s="58"/>
    </row>
    <row r="214" spans="1:16" s="10" customFormat="1" ht="15.75" customHeight="1" x14ac:dyDescent="0.3">
      <c r="A214" s="48" t="s">
        <v>322</v>
      </c>
      <c r="B214" s="33" t="s">
        <v>163</v>
      </c>
      <c r="C214" s="36">
        <f>46000-2570</f>
        <v>43430</v>
      </c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7">
        <f t="shared" si="46"/>
        <v>43430</v>
      </c>
      <c r="P214" s="58"/>
    </row>
    <row r="215" spans="1:16" s="10" customFormat="1" ht="15.75" customHeight="1" x14ac:dyDescent="0.3">
      <c r="A215" s="48" t="s">
        <v>323</v>
      </c>
      <c r="B215" s="33" t="s">
        <v>182</v>
      </c>
      <c r="C215" s="36"/>
      <c r="D215" s="36"/>
      <c r="E215" s="36"/>
      <c r="F215" s="114">
        <f>946200+140000-4800</f>
        <v>1081400</v>
      </c>
      <c r="G215" s="36"/>
      <c r="H215" s="36"/>
      <c r="I215" s="36"/>
      <c r="J215" s="36"/>
      <c r="K215" s="36"/>
      <c r="L215" s="36"/>
      <c r="M215" s="36"/>
      <c r="N215" s="36"/>
      <c r="O215" s="27">
        <f t="shared" si="46"/>
        <v>1081400</v>
      </c>
      <c r="P215" s="58"/>
    </row>
    <row r="216" spans="1:16" s="8" customFormat="1" ht="45" customHeight="1" x14ac:dyDescent="0.25">
      <c r="A216" s="48" t="s">
        <v>324</v>
      </c>
      <c r="B216" s="64" t="s">
        <v>426</v>
      </c>
      <c r="C216" s="29"/>
      <c r="D216" s="29"/>
      <c r="E216" s="29"/>
      <c r="F216" s="29">
        <f>418000</f>
        <v>418000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418000</v>
      </c>
      <c r="P216" s="56"/>
    </row>
    <row r="217" spans="1:16" s="8" customFormat="1" ht="28.5" customHeight="1" x14ac:dyDescent="0.25">
      <c r="A217" s="48" t="s">
        <v>325</v>
      </c>
      <c r="B217" s="64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6"/>
    </row>
    <row r="218" spans="1:16" s="4" customFormat="1" ht="28.5" customHeight="1" x14ac:dyDescent="0.25">
      <c r="A218" s="48" t="s">
        <v>326</v>
      </c>
      <c r="B218" s="33" t="s">
        <v>571</v>
      </c>
      <c r="C218" s="113">
        <f>170000+1700</f>
        <v>171700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425400</v>
      </c>
      <c r="P218" s="56"/>
    </row>
    <row r="219" spans="1:16" s="8" customFormat="1" ht="15.75" customHeight="1" x14ac:dyDescent="0.25">
      <c r="A219" s="48" t="s">
        <v>327</v>
      </c>
      <c r="B219" s="64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6"/>
    </row>
    <row r="220" spans="1:16" s="8" customFormat="1" ht="15.75" customHeight="1" x14ac:dyDescent="0.25">
      <c r="A220" s="48" t="s">
        <v>374</v>
      </c>
      <c r="B220" s="64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6"/>
    </row>
    <row r="221" spans="1:16" s="10" customFormat="1" ht="15.75" customHeight="1" x14ac:dyDescent="0.3">
      <c r="A221" s="48" t="s">
        <v>472</v>
      </c>
      <c r="B221" s="33" t="s">
        <v>428</v>
      </c>
      <c r="C221" s="36">
        <v>14000</v>
      </c>
      <c r="D221" s="36"/>
      <c r="E221" s="36"/>
      <c r="F221" s="114">
        <f>28400-2694-2500</f>
        <v>23206</v>
      </c>
      <c r="G221" s="36"/>
      <c r="H221" s="36"/>
      <c r="I221" s="37"/>
      <c r="J221" s="37"/>
      <c r="K221" s="36"/>
      <c r="L221" s="37"/>
      <c r="M221" s="36"/>
      <c r="N221" s="36"/>
      <c r="O221" s="27">
        <f t="shared" si="46"/>
        <v>37206</v>
      </c>
      <c r="P221" s="58"/>
    </row>
    <row r="222" spans="1:16" s="10" customFormat="1" ht="15.75" customHeight="1" x14ac:dyDescent="0.3">
      <c r="A222" s="48" t="s">
        <v>473</v>
      </c>
      <c r="B222" s="33" t="s">
        <v>474</v>
      </c>
      <c r="C222" s="114">
        <f>23000+8582-8300-4500-3145-4400</f>
        <v>11237</v>
      </c>
      <c r="D222" s="36"/>
      <c r="E222" s="36"/>
      <c r="F222" s="36">
        <f>51125-3751-30080</f>
        <v>17294</v>
      </c>
      <c r="G222" s="36"/>
      <c r="H222" s="36"/>
      <c r="I222" s="37"/>
      <c r="J222" s="37"/>
      <c r="K222" s="36"/>
      <c r="L222" s="37"/>
      <c r="M222" s="36"/>
      <c r="N222" s="36"/>
      <c r="O222" s="27">
        <f t="shared" si="46"/>
        <v>28531</v>
      </c>
      <c r="P222" s="58"/>
    </row>
    <row r="223" spans="1:16" s="10" customFormat="1" ht="30" customHeight="1" x14ac:dyDescent="0.3">
      <c r="A223" s="48" t="s">
        <v>328</v>
      </c>
      <c r="B223" s="33" t="s">
        <v>475</v>
      </c>
      <c r="C223" s="36"/>
      <c r="D223" s="36"/>
      <c r="E223" s="36"/>
      <c r="F223" s="36">
        <f>6626+719</f>
        <v>7345</v>
      </c>
      <c r="G223" s="36"/>
      <c r="H223" s="36"/>
      <c r="I223" s="37"/>
      <c r="J223" s="37"/>
      <c r="K223" s="36"/>
      <c r="L223" s="37"/>
      <c r="M223" s="36"/>
      <c r="N223" s="36"/>
      <c r="O223" s="27">
        <f>C223+F223+I223+L223</f>
        <v>7345</v>
      </c>
      <c r="P223" s="58"/>
    </row>
    <row r="224" spans="1:16" s="10" customFormat="1" ht="28.5" customHeight="1" x14ac:dyDescent="0.3">
      <c r="A224" s="48" t="s">
        <v>329</v>
      </c>
      <c r="B224" s="33" t="s">
        <v>388</v>
      </c>
      <c r="C224" s="114">
        <f>795000+166300+16000+44900+15000</f>
        <v>1037200</v>
      </c>
      <c r="D224" s="36"/>
      <c r="E224" s="36"/>
      <c r="F224" s="36">
        <f>6300</f>
        <v>6300</v>
      </c>
      <c r="G224" s="36"/>
      <c r="H224" s="36"/>
      <c r="I224" s="37"/>
      <c r="J224" s="37"/>
      <c r="K224" s="36"/>
      <c r="L224" s="37"/>
      <c r="M224" s="36"/>
      <c r="N224" s="36"/>
      <c r="O224" s="27">
        <f t="shared" si="46"/>
        <v>1043500</v>
      </c>
      <c r="P224" s="58"/>
    </row>
    <row r="225" spans="1:16" s="10" customFormat="1" ht="28.5" customHeight="1" x14ac:dyDescent="0.3">
      <c r="A225" s="48" t="s">
        <v>330</v>
      </c>
      <c r="B225" s="33" t="s">
        <v>476</v>
      </c>
      <c r="C225" s="36">
        <f>24000-4500</f>
        <v>19500</v>
      </c>
      <c r="D225" s="36"/>
      <c r="E225" s="36"/>
      <c r="F225" s="36"/>
      <c r="G225" s="36"/>
      <c r="H225" s="36"/>
      <c r="I225" s="36"/>
      <c r="J225" s="36"/>
      <c r="K225" s="36"/>
      <c r="L225" s="37"/>
      <c r="M225" s="36"/>
      <c r="N225" s="36"/>
      <c r="O225" s="27">
        <f t="shared" si="46"/>
        <v>19500</v>
      </c>
      <c r="P225" s="58"/>
    </row>
    <row r="226" spans="1:16" s="4" customFormat="1" ht="15.75" customHeight="1" x14ac:dyDescent="0.25">
      <c r="A226" s="48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6"/>
    </row>
    <row r="227" spans="1:16" s="4" customFormat="1" ht="45.75" customHeight="1" x14ac:dyDescent="0.25">
      <c r="A227" s="48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6"/>
    </row>
    <row r="228" spans="1:16" s="10" customFormat="1" ht="15.75" customHeight="1" x14ac:dyDescent="0.3">
      <c r="A228" s="48" t="s">
        <v>333</v>
      </c>
      <c r="B228" s="33" t="s">
        <v>180</v>
      </c>
      <c r="C228" s="36">
        <v>1000</v>
      </c>
      <c r="D228" s="36"/>
      <c r="E228" s="36"/>
      <c r="F228" s="37"/>
      <c r="G228" s="36"/>
      <c r="H228" s="36"/>
      <c r="I228" s="37"/>
      <c r="J228" s="37"/>
      <c r="K228" s="36"/>
      <c r="L228" s="37"/>
      <c r="M228" s="36"/>
      <c r="N228" s="36"/>
      <c r="O228" s="27">
        <f t="shared" si="46"/>
        <v>1000</v>
      </c>
      <c r="P228" s="58"/>
    </row>
    <row r="229" spans="1:16" s="4" customFormat="1" ht="30" customHeight="1" x14ac:dyDescent="0.25">
      <c r="A229" s="48" t="s">
        <v>334</v>
      </c>
      <c r="B229" s="44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6"/>
    </row>
    <row r="230" spans="1:16" s="10" customFormat="1" ht="15.75" customHeight="1" x14ac:dyDescent="0.3">
      <c r="A230" s="48" t="s">
        <v>335</v>
      </c>
      <c r="B230" s="33" t="s">
        <v>156</v>
      </c>
      <c r="C230" s="53">
        <v>11000</v>
      </c>
      <c r="D230" s="36"/>
      <c r="E230" s="36"/>
      <c r="F230" s="37"/>
      <c r="G230" s="36"/>
      <c r="H230" s="36"/>
      <c r="I230" s="37"/>
      <c r="J230" s="37"/>
      <c r="K230" s="36"/>
      <c r="L230" s="37"/>
      <c r="M230" s="36"/>
      <c r="N230" s="36"/>
      <c r="O230" s="27">
        <f t="shared" si="46"/>
        <v>11000</v>
      </c>
      <c r="P230" s="58"/>
    </row>
    <row r="231" spans="1:16" s="10" customFormat="1" ht="15.75" customHeight="1" x14ac:dyDescent="0.3">
      <c r="A231" s="48" t="s">
        <v>336</v>
      </c>
      <c r="B231" s="33" t="s">
        <v>375</v>
      </c>
      <c r="C231" s="36">
        <f>82950-20000</f>
        <v>62950</v>
      </c>
      <c r="D231" s="36"/>
      <c r="E231" s="36"/>
      <c r="F231" s="37"/>
      <c r="G231" s="36"/>
      <c r="H231" s="36"/>
      <c r="I231" s="37"/>
      <c r="J231" s="37"/>
      <c r="K231" s="36"/>
      <c r="L231" s="37"/>
      <c r="M231" s="36"/>
      <c r="N231" s="36"/>
      <c r="O231" s="27">
        <f t="shared" si="46"/>
        <v>62950</v>
      </c>
      <c r="P231" s="58"/>
    </row>
    <row r="232" spans="1:16" s="10" customFormat="1" ht="15.75" customHeight="1" x14ac:dyDescent="0.3">
      <c r="A232" s="48" t="s">
        <v>337</v>
      </c>
      <c r="B232" s="33" t="s">
        <v>267</v>
      </c>
      <c r="C232" s="36">
        <v>2148</v>
      </c>
      <c r="D232" s="36"/>
      <c r="E232" s="36"/>
      <c r="F232" s="37"/>
      <c r="G232" s="36"/>
      <c r="H232" s="36"/>
      <c r="I232" s="37"/>
      <c r="J232" s="37"/>
      <c r="K232" s="36"/>
      <c r="L232" s="37"/>
      <c r="M232" s="36"/>
      <c r="N232" s="36"/>
      <c r="O232" s="27">
        <f t="shared" si="46"/>
        <v>2148</v>
      </c>
      <c r="P232" s="58"/>
    </row>
    <row r="233" spans="1:16" s="10" customFormat="1" ht="45.75" customHeight="1" x14ac:dyDescent="0.3">
      <c r="A233" s="48" t="s">
        <v>338</v>
      </c>
      <c r="B233" s="33" t="s">
        <v>572</v>
      </c>
      <c r="C233" s="36">
        <f>5000+14000</f>
        <v>19000</v>
      </c>
      <c r="D233" s="36"/>
      <c r="E233" s="36"/>
      <c r="F233" s="37"/>
      <c r="G233" s="36"/>
      <c r="H233" s="36"/>
      <c r="I233" s="37"/>
      <c r="J233" s="37"/>
      <c r="K233" s="36"/>
      <c r="L233" s="37"/>
      <c r="M233" s="36"/>
      <c r="N233" s="36"/>
      <c r="O233" s="27">
        <f t="shared" si="46"/>
        <v>19000</v>
      </c>
      <c r="P233" s="58"/>
    </row>
    <row r="234" spans="1:16" s="10" customFormat="1" ht="30.75" customHeight="1" x14ac:dyDescent="0.3">
      <c r="A234" s="48" t="s">
        <v>339</v>
      </c>
      <c r="B234" s="33" t="s">
        <v>183</v>
      </c>
      <c r="C234" s="36">
        <v>23000</v>
      </c>
      <c r="D234" s="36"/>
      <c r="E234" s="36"/>
      <c r="F234" s="37"/>
      <c r="G234" s="36"/>
      <c r="H234" s="36"/>
      <c r="I234" s="37"/>
      <c r="J234" s="37"/>
      <c r="K234" s="36"/>
      <c r="L234" s="37"/>
      <c r="M234" s="36"/>
      <c r="N234" s="36"/>
      <c r="O234" s="27">
        <f>C234+F234+I234+L234</f>
        <v>23000</v>
      </c>
      <c r="P234" s="58"/>
    </row>
    <row r="235" spans="1:16" s="10" customFormat="1" ht="28.5" customHeight="1" x14ac:dyDescent="0.3">
      <c r="A235" s="48" t="s">
        <v>340</v>
      </c>
      <c r="B235" s="33" t="s">
        <v>559</v>
      </c>
      <c r="C235" s="36">
        <f>187400-20350</f>
        <v>167050</v>
      </c>
      <c r="D235" s="36">
        <v>184150</v>
      </c>
      <c r="E235" s="36"/>
      <c r="F235" s="37"/>
      <c r="G235" s="36"/>
      <c r="H235" s="36"/>
      <c r="I235" s="37"/>
      <c r="J235" s="37"/>
      <c r="K235" s="36"/>
      <c r="L235" s="37"/>
      <c r="M235" s="36"/>
      <c r="N235" s="36"/>
      <c r="O235" s="27">
        <f t="shared" si="46"/>
        <v>167050</v>
      </c>
      <c r="P235" s="58"/>
    </row>
    <row r="236" spans="1:16" s="10" customFormat="1" ht="30" customHeight="1" x14ac:dyDescent="0.3">
      <c r="A236" s="48" t="s">
        <v>341</v>
      </c>
      <c r="B236" s="59" t="s">
        <v>304</v>
      </c>
      <c r="C236" s="36">
        <f>208800-112521</f>
        <v>96279</v>
      </c>
      <c r="D236" s="36">
        <v>205070</v>
      </c>
      <c r="E236" s="36"/>
      <c r="F236" s="37"/>
      <c r="G236" s="36"/>
      <c r="H236" s="36"/>
      <c r="I236" s="37"/>
      <c r="J236" s="37"/>
      <c r="K236" s="36"/>
      <c r="L236" s="37"/>
      <c r="M236" s="36"/>
      <c r="N236" s="36"/>
      <c r="O236" s="27">
        <f t="shared" si="46"/>
        <v>96279</v>
      </c>
      <c r="P236" s="58"/>
    </row>
    <row r="237" spans="1:16" s="10" customFormat="1" ht="29.25" customHeight="1" x14ac:dyDescent="0.3">
      <c r="A237" s="48" t="s">
        <v>478</v>
      </c>
      <c r="B237" s="33" t="s">
        <v>181</v>
      </c>
      <c r="C237" s="36">
        <v>601400</v>
      </c>
      <c r="D237" s="36">
        <v>580000</v>
      </c>
      <c r="E237" s="36"/>
      <c r="F237" s="36"/>
      <c r="G237" s="36"/>
      <c r="H237" s="36"/>
      <c r="I237" s="37"/>
      <c r="J237" s="37"/>
      <c r="K237" s="36"/>
      <c r="L237" s="37"/>
      <c r="M237" s="36"/>
      <c r="N237" s="36"/>
      <c r="O237" s="27">
        <f t="shared" si="46"/>
        <v>601400</v>
      </c>
      <c r="P237" s="58"/>
    </row>
    <row r="238" spans="1:16" s="10" customFormat="1" ht="30" customHeight="1" x14ac:dyDescent="0.3">
      <c r="A238" s="48" t="s">
        <v>377</v>
      </c>
      <c r="B238" s="33" t="s">
        <v>376</v>
      </c>
      <c r="C238" s="36">
        <v>90700</v>
      </c>
      <c r="D238" s="36">
        <v>22700</v>
      </c>
      <c r="E238" s="36"/>
      <c r="F238" s="37"/>
      <c r="G238" s="36"/>
      <c r="H238" s="36"/>
      <c r="I238" s="37"/>
      <c r="J238" s="37"/>
      <c r="K238" s="36"/>
      <c r="L238" s="37"/>
      <c r="M238" s="36"/>
      <c r="N238" s="36"/>
      <c r="O238" s="27">
        <f t="shared" si="46"/>
        <v>90700</v>
      </c>
      <c r="P238" s="58"/>
    </row>
    <row r="239" spans="1:16" s="10" customFormat="1" ht="29.25" customHeight="1" x14ac:dyDescent="0.3">
      <c r="A239" s="48" t="s">
        <v>429</v>
      </c>
      <c r="B239" s="59" t="s">
        <v>206</v>
      </c>
      <c r="C239" s="36">
        <v>417400</v>
      </c>
      <c r="D239" s="36">
        <v>410140</v>
      </c>
      <c r="E239" s="36"/>
      <c r="F239" s="36"/>
      <c r="G239" s="36"/>
      <c r="H239" s="36"/>
      <c r="I239" s="37"/>
      <c r="J239" s="37"/>
      <c r="K239" s="36"/>
      <c r="L239" s="37"/>
      <c r="M239" s="36"/>
      <c r="N239" s="36"/>
      <c r="O239" s="27">
        <f t="shared" si="46"/>
        <v>417400</v>
      </c>
      <c r="P239" s="58"/>
    </row>
    <row r="240" spans="1:16" s="10" customFormat="1" ht="45.75" customHeight="1" x14ac:dyDescent="0.3">
      <c r="A240" s="48" t="s">
        <v>479</v>
      </c>
      <c r="B240" s="33" t="s">
        <v>187</v>
      </c>
      <c r="C240" s="36">
        <v>76200</v>
      </c>
      <c r="D240" s="36">
        <v>60000</v>
      </c>
      <c r="E240" s="36"/>
      <c r="F240" s="37"/>
      <c r="G240" s="36"/>
      <c r="H240" s="36"/>
      <c r="I240" s="37"/>
      <c r="J240" s="37"/>
      <c r="K240" s="36"/>
      <c r="L240" s="37"/>
      <c r="M240" s="36"/>
      <c r="N240" s="36"/>
      <c r="O240" s="27">
        <f>C240+F240+I240+L240</f>
        <v>76200</v>
      </c>
      <c r="P240" s="58"/>
    </row>
    <row r="241" spans="1:20" s="10" customFormat="1" ht="29.25" customHeight="1" x14ac:dyDescent="0.3">
      <c r="A241" s="48" t="s">
        <v>480</v>
      </c>
      <c r="B241" s="59" t="s">
        <v>481</v>
      </c>
      <c r="C241" s="36">
        <f>137400+30520</f>
        <v>167920</v>
      </c>
      <c r="D241" s="36">
        <v>135000</v>
      </c>
      <c r="E241" s="36"/>
      <c r="F241" s="36"/>
      <c r="G241" s="36"/>
      <c r="H241" s="36"/>
      <c r="I241" s="37"/>
      <c r="J241" s="37"/>
      <c r="K241" s="36"/>
      <c r="L241" s="37"/>
      <c r="M241" s="36"/>
      <c r="N241" s="36"/>
      <c r="O241" s="27">
        <f>C241+F241+I241+L241</f>
        <v>167920</v>
      </c>
      <c r="P241" s="58"/>
    </row>
    <row r="242" spans="1:20" s="10" customFormat="1" ht="29.25" customHeight="1" x14ac:dyDescent="0.3">
      <c r="A242" s="48" t="s">
        <v>482</v>
      </c>
      <c r="B242" s="59" t="s">
        <v>483</v>
      </c>
      <c r="C242" s="36">
        <f>142000-37000-43187+102351</f>
        <v>164164</v>
      </c>
      <c r="D242" s="36">
        <v>120000</v>
      </c>
      <c r="E242" s="36"/>
      <c r="F242" s="36"/>
      <c r="G242" s="36"/>
      <c r="H242" s="36"/>
      <c r="I242" s="37"/>
      <c r="J242" s="37"/>
      <c r="K242" s="36"/>
      <c r="L242" s="37"/>
      <c r="M242" s="36"/>
      <c r="N242" s="36"/>
      <c r="O242" s="27">
        <f>C242+F242+I242+L242</f>
        <v>164164</v>
      </c>
      <c r="P242" s="58"/>
    </row>
    <row r="243" spans="1:20" s="10" customFormat="1" ht="30" customHeight="1" x14ac:dyDescent="0.3">
      <c r="A243" s="48" t="s">
        <v>484</v>
      </c>
      <c r="B243" s="33" t="s">
        <v>485</v>
      </c>
      <c r="C243" s="36">
        <v>48440</v>
      </c>
      <c r="D243" s="36">
        <v>40000</v>
      </c>
      <c r="E243" s="36"/>
      <c r="F243" s="37"/>
      <c r="G243" s="36"/>
      <c r="H243" s="36"/>
      <c r="I243" s="37"/>
      <c r="J243" s="37"/>
      <c r="K243" s="36"/>
      <c r="L243" s="37"/>
      <c r="M243" s="36"/>
      <c r="N243" s="36"/>
      <c r="O243" s="27">
        <f t="shared" si="46"/>
        <v>48440</v>
      </c>
      <c r="P243" s="58"/>
    </row>
    <row r="244" spans="1:20" s="10" customFormat="1" ht="33" customHeight="1" x14ac:dyDescent="0.3">
      <c r="A244" s="48" t="s">
        <v>430</v>
      </c>
      <c r="B244" s="33" t="s">
        <v>486</v>
      </c>
      <c r="C244" s="36"/>
      <c r="D244" s="36"/>
      <c r="E244" s="36"/>
      <c r="F244" s="36">
        <v>6750</v>
      </c>
      <c r="G244" s="36"/>
      <c r="H244" s="36"/>
      <c r="I244" s="37"/>
      <c r="J244" s="37"/>
      <c r="K244" s="36"/>
      <c r="L244" s="37"/>
      <c r="M244" s="36"/>
      <c r="N244" s="36"/>
      <c r="O244" s="27">
        <f t="shared" si="46"/>
        <v>6750</v>
      </c>
      <c r="P244" s="92"/>
      <c r="S244" s="92"/>
      <c r="T244" s="92"/>
    </row>
    <row r="245" spans="1:20" s="10" customFormat="1" ht="30.75" customHeight="1" x14ac:dyDescent="0.3">
      <c r="A245" s="48" t="s">
        <v>555</v>
      </c>
      <c r="B245" s="33" t="s">
        <v>431</v>
      </c>
      <c r="C245" s="36"/>
      <c r="D245" s="36"/>
      <c r="E245" s="36"/>
      <c r="F245" s="36">
        <v>445</v>
      </c>
      <c r="G245" s="36"/>
      <c r="H245" s="36"/>
      <c r="I245" s="37"/>
      <c r="J245" s="37"/>
      <c r="K245" s="36"/>
      <c r="L245" s="37"/>
      <c r="M245" s="36"/>
      <c r="N245" s="36"/>
      <c r="O245" s="27">
        <f t="shared" si="46"/>
        <v>445</v>
      </c>
      <c r="P245" s="92"/>
      <c r="S245" s="92"/>
      <c r="T245" s="92"/>
    </row>
    <row r="246" spans="1:20" s="10" customFormat="1" ht="30.75" customHeight="1" x14ac:dyDescent="0.3">
      <c r="A246" s="48" t="s">
        <v>558</v>
      </c>
      <c r="B246" s="33" t="s">
        <v>556</v>
      </c>
      <c r="C246" s="36"/>
      <c r="D246" s="36"/>
      <c r="E246" s="36"/>
      <c r="F246" s="36">
        <f>18391+9814</f>
        <v>28205</v>
      </c>
      <c r="G246" s="36"/>
      <c r="H246" s="36"/>
      <c r="I246" s="37"/>
      <c r="J246" s="37"/>
      <c r="K246" s="36"/>
      <c r="L246" s="37"/>
      <c r="M246" s="36"/>
      <c r="N246" s="36"/>
      <c r="O246" s="27">
        <f t="shared" si="46"/>
        <v>28205</v>
      </c>
      <c r="P246" s="92"/>
      <c r="S246" s="92"/>
      <c r="T246" s="92"/>
    </row>
    <row r="247" spans="1:20" s="10" customFormat="1" ht="15.6" x14ac:dyDescent="0.3">
      <c r="A247" s="48" t="s">
        <v>560</v>
      </c>
      <c r="B247" s="33" t="s">
        <v>557</v>
      </c>
      <c r="C247" s="36"/>
      <c r="D247" s="36"/>
      <c r="E247" s="36"/>
      <c r="F247" s="36">
        <v>100000</v>
      </c>
      <c r="G247" s="36"/>
      <c r="H247" s="36"/>
      <c r="I247" s="37"/>
      <c r="J247" s="37"/>
      <c r="K247" s="36"/>
      <c r="L247" s="37"/>
      <c r="M247" s="36"/>
      <c r="N247" s="36"/>
      <c r="O247" s="27">
        <f>C247+F247+I247+L247</f>
        <v>100000</v>
      </c>
      <c r="P247" s="92"/>
      <c r="S247" s="92"/>
      <c r="T247" s="92"/>
    </row>
    <row r="248" spans="1:20" s="10" customFormat="1" ht="15.6" x14ac:dyDescent="0.3">
      <c r="A248" s="48" t="s">
        <v>575</v>
      </c>
      <c r="B248" s="33" t="s">
        <v>576</v>
      </c>
      <c r="C248" s="36"/>
      <c r="D248" s="36"/>
      <c r="E248" s="36"/>
      <c r="F248" s="36">
        <v>1700</v>
      </c>
      <c r="G248" s="36"/>
      <c r="H248" s="36"/>
      <c r="I248" s="37"/>
      <c r="J248" s="37"/>
      <c r="K248" s="36"/>
      <c r="L248" s="37"/>
      <c r="M248" s="36"/>
      <c r="N248" s="36"/>
      <c r="O248" s="27">
        <f>C248+F248+I248+L248</f>
        <v>1700</v>
      </c>
      <c r="P248" s="92"/>
      <c r="S248" s="92"/>
      <c r="T248" s="92"/>
    </row>
    <row r="249" spans="1:20" s="4" customFormat="1" ht="18" customHeight="1" x14ac:dyDescent="0.25">
      <c r="A249" s="27" t="s">
        <v>147</v>
      </c>
      <c r="B249" s="41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6"/>
    </row>
    <row r="250" spans="1:20" s="4" customFormat="1" ht="16.5" customHeight="1" x14ac:dyDescent="0.25">
      <c r="A250" s="27" t="s">
        <v>148</v>
      </c>
      <c r="B250" s="41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6"/>
    </row>
    <row r="251" spans="1:20" s="7" customFormat="1" ht="18" customHeight="1" x14ac:dyDescent="0.25">
      <c r="A251" s="27"/>
      <c r="B251" s="49" t="s">
        <v>24</v>
      </c>
      <c r="C251" s="62">
        <f t="shared" ref="C251:N251" si="47">C12+C41+C48+C56+C89+C115+C146+C205</f>
        <v>29234138</v>
      </c>
      <c r="D251" s="62">
        <f t="shared" si="47"/>
        <v>16004721</v>
      </c>
      <c r="E251" s="62">
        <f t="shared" si="47"/>
        <v>0</v>
      </c>
      <c r="F251" s="62">
        <f t="shared" si="47"/>
        <v>8488533</v>
      </c>
      <c r="G251" s="62">
        <f t="shared" si="47"/>
        <v>2075585</v>
      </c>
      <c r="H251" s="62">
        <f t="shared" si="47"/>
        <v>195370</v>
      </c>
      <c r="I251" s="62">
        <f>I12+I41+I48+I56+I89+I115+I146+I205</f>
        <v>12645800</v>
      </c>
      <c r="J251" s="62">
        <f t="shared" si="47"/>
        <v>10193706</v>
      </c>
      <c r="K251" s="62">
        <f t="shared" si="47"/>
        <v>0</v>
      </c>
      <c r="L251" s="62">
        <f t="shared" si="47"/>
        <v>2773753</v>
      </c>
      <c r="M251" s="62">
        <f t="shared" si="47"/>
        <v>374423</v>
      </c>
      <c r="N251" s="62">
        <f t="shared" si="47"/>
        <v>0</v>
      </c>
      <c r="O251" s="62">
        <f>O12+O41+O48+O56+O89+O115+O146+O205</f>
        <v>53142224</v>
      </c>
      <c r="P251" s="56"/>
    </row>
    <row r="252" spans="1:20" s="10" customFormat="1" ht="15.75" customHeight="1" x14ac:dyDescent="0.3">
      <c r="A252" s="27" t="s">
        <v>149</v>
      </c>
      <c r="B252" s="41" t="s">
        <v>23</v>
      </c>
      <c r="C252" s="37">
        <f>SUM(C254,C253)</f>
        <v>1083664</v>
      </c>
      <c r="D252" s="36"/>
      <c r="E252" s="36"/>
      <c r="F252" s="37">
        <f>SUM(F254)</f>
        <v>0</v>
      </c>
      <c r="G252" s="36"/>
      <c r="H252" s="36"/>
      <c r="I252" s="37"/>
      <c r="J252" s="37"/>
      <c r="K252" s="36"/>
      <c r="L252" s="37"/>
      <c r="M252" s="36"/>
      <c r="N252" s="36"/>
      <c r="O252" s="27">
        <f>C252+F252+I252+L252</f>
        <v>1083664</v>
      </c>
      <c r="P252" s="56"/>
    </row>
    <row r="253" spans="1:20" s="7" customFormat="1" ht="18" customHeight="1" x14ac:dyDescent="0.25">
      <c r="A253" s="65" t="s">
        <v>342</v>
      </c>
      <c r="B253" s="44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7"/>
    </row>
    <row r="254" spans="1:20" s="7" customFormat="1" ht="18" customHeight="1" x14ac:dyDescent="0.25">
      <c r="A254" s="65" t="s">
        <v>342</v>
      </c>
      <c r="B254" s="44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7"/>
    </row>
    <row r="255" spans="1:20" s="2" customFormat="1" ht="18.75" customHeight="1" x14ac:dyDescent="0.3">
      <c r="A255" s="40"/>
      <c r="B255" s="32"/>
      <c r="C255" s="1"/>
      <c r="F255" s="9"/>
      <c r="I255" s="9"/>
      <c r="J255" s="9"/>
      <c r="K255" s="7"/>
      <c r="L255" s="9"/>
      <c r="O255" s="1"/>
      <c r="P255" s="17"/>
    </row>
    <row r="256" spans="1:20" s="7" customFormat="1" ht="15" customHeight="1" x14ac:dyDescent="0.25">
      <c r="A256" s="40"/>
      <c r="B256" s="32"/>
      <c r="C256" s="9"/>
      <c r="F256" s="9"/>
      <c r="I256" s="9"/>
      <c r="J256" s="9"/>
      <c r="L256" s="9"/>
      <c r="P256" s="57"/>
    </row>
    <row r="257" spans="1:16" s="7" customFormat="1" ht="15" customHeight="1" x14ac:dyDescent="0.25">
      <c r="A257" s="40"/>
      <c r="B257" s="32"/>
      <c r="C257" s="77"/>
      <c r="D257" s="78"/>
      <c r="E257" s="78"/>
      <c r="F257" s="77"/>
      <c r="I257" s="9"/>
      <c r="J257" s="9"/>
      <c r="L257" s="9"/>
      <c r="P257" s="57"/>
    </row>
    <row r="258" spans="1:16" s="7" customFormat="1" ht="15" customHeight="1" x14ac:dyDescent="0.25">
      <c r="A258" s="40"/>
      <c r="B258" s="32"/>
      <c r="C258" s="9"/>
      <c r="F258" s="9"/>
      <c r="I258" s="9"/>
      <c r="J258" s="9"/>
      <c r="L258" s="9"/>
      <c r="P258" s="57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abSelected="1" workbookViewId="0">
      <selection activeCell="M30" sqref="M30"/>
    </sheetView>
  </sheetViews>
  <sheetFormatPr defaultRowHeight="13.2" x14ac:dyDescent="0.25"/>
  <cols>
    <col min="1" max="1" width="8.33203125" style="110" customWidth="1"/>
    <col min="2" max="2" width="65.6640625" style="15" customWidth="1"/>
    <col min="3" max="3" width="15.88671875" style="15" customWidth="1"/>
    <col min="4" max="4" width="3.6640625" style="15" customWidth="1"/>
    <col min="5" max="252" width="9.109375" style="15"/>
    <col min="253" max="253" width="8.33203125" style="15" customWidth="1"/>
    <col min="254" max="254" width="65.6640625" style="15" customWidth="1"/>
    <col min="255" max="255" width="15.88671875" style="15" customWidth="1"/>
    <col min="256" max="256" width="3.6640625" style="15" customWidth="1"/>
    <col min="257" max="508" width="9.109375" style="15"/>
    <col min="509" max="509" width="8.33203125" style="15" customWidth="1"/>
    <col min="510" max="510" width="65.6640625" style="15" customWidth="1"/>
    <col min="511" max="511" width="15.88671875" style="15" customWidth="1"/>
    <col min="512" max="512" width="3.6640625" style="15" customWidth="1"/>
    <col min="513" max="764" width="9.109375" style="15"/>
    <col min="765" max="765" width="8.33203125" style="15" customWidth="1"/>
    <col min="766" max="766" width="65.6640625" style="15" customWidth="1"/>
    <col min="767" max="767" width="15.88671875" style="15" customWidth="1"/>
    <col min="768" max="768" width="3.6640625" style="15" customWidth="1"/>
    <col min="769" max="1020" width="9.109375" style="15"/>
    <col min="1021" max="1021" width="8.33203125" style="15" customWidth="1"/>
    <col min="1022" max="1022" width="65.6640625" style="15" customWidth="1"/>
    <col min="1023" max="1023" width="15.88671875" style="15" customWidth="1"/>
    <col min="1024" max="1024" width="3.6640625" style="15" customWidth="1"/>
    <col min="1025" max="1276" width="9.109375" style="15"/>
    <col min="1277" max="1277" width="8.33203125" style="15" customWidth="1"/>
    <col min="1278" max="1278" width="65.6640625" style="15" customWidth="1"/>
    <col min="1279" max="1279" width="15.88671875" style="15" customWidth="1"/>
    <col min="1280" max="1280" width="3.6640625" style="15" customWidth="1"/>
    <col min="1281" max="1532" width="9.109375" style="15"/>
    <col min="1533" max="1533" width="8.33203125" style="15" customWidth="1"/>
    <col min="1534" max="1534" width="65.6640625" style="15" customWidth="1"/>
    <col min="1535" max="1535" width="15.88671875" style="15" customWidth="1"/>
    <col min="1536" max="1536" width="3.6640625" style="15" customWidth="1"/>
    <col min="1537" max="1788" width="9.109375" style="15"/>
    <col min="1789" max="1789" width="8.33203125" style="15" customWidth="1"/>
    <col min="1790" max="1790" width="65.6640625" style="15" customWidth="1"/>
    <col min="1791" max="1791" width="15.88671875" style="15" customWidth="1"/>
    <col min="1792" max="1792" width="3.6640625" style="15" customWidth="1"/>
    <col min="1793" max="2044" width="9.109375" style="15"/>
    <col min="2045" max="2045" width="8.33203125" style="15" customWidth="1"/>
    <col min="2046" max="2046" width="65.6640625" style="15" customWidth="1"/>
    <col min="2047" max="2047" width="15.88671875" style="15" customWidth="1"/>
    <col min="2048" max="2048" width="3.6640625" style="15" customWidth="1"/>
    <col min="2049" max="2300" width="9.109375" style="15"/>
    <col min="2301" max="2301" width="8.33203125" style="15" customWidth="1"/>
    <col min="2302" max="2302" width="65.6640625" style="15" customWidth="1"/>
    <col min="2303" max="2303" width="15.88671875" style="15" customWidth="1"/>
    <col min="2304" max="2304" width="3.6640625" style="15" customWidth="1"/>
    <col min="2305" max="2556" width="9.109375" style="15"/>
    <col min="2557" max="2557" width="8.33203125" style="15" customWidth="1"/>
    <col min="2558" max="2558" width="65.6640625" style="15" customWidth="1"/>
    <col min="2559" max="2559" width="15.88671875" style="15" customWidth="1"/>
    <col min="2560" max="2560" width="3.6640625" style="15" customWidth="1"/>
    <col min="2561" max="2812" width="9.109375" style="15"/>
    <col min="2813" max="2813" width="8.33203125" style="15" customWidth="1"/>
    <col min="2814" max="2814" width="65.6640625" style="15" customWidth="1"/>
    <col min="2815" max="2815" width="15.88671875" style="15" customWidth="1"/>
    <col min="2816" max="2816" width="3.6640625" style="15" customWidth="1"/>
    <col min="2817" max="3068" width="9.109375" style="15"/>
    <col min="3069" max="3069" width="8.33203125" style="15" customWidth="1"/>
    <col min="3070" max="3070" width="65.6640625" style="15" customWidth="1"/>
    <col min="3071" max="3071" width="15.88671875" style="15" customWidth="1"/>
    <col min="3072" max="3072" width="3.6640625" style="15" customWidth="1"/>
    <col min="3073" max="3324" width="9.109375" style="15"/>
    <col min="3325" max="3325" width="8.33203125" style="15" customWidth="1"/>
    <col min="3326" max="3326" width="65.6640625" style="15" customWidth="1"/>
    <col min="3327" max="3327" width="15.88671875" style="15" customWidth="1"/>
    <col min="3328" max="3328" width="3.6640625" style="15" customWidth="1"/>
    <col min="3329" max="3580" width="9.109375" style="15"/>
    <col min="3581" max="3581" width="8.33203125" style="15" customWidth="1"/>
    <col min="3582" max="3582" width="65.6640625" style="15" customWidth="1"/>
    <col min="3583" max="3583" width="15.88671875" style="15" customWidth="1"/>
    <col min="3584" max="3584" width="3.6640625" style="15" customWidth="1"/>
    <col min="3585" max="3836" width="9.109375" style="15"/>
    <col min="3837" max="3837" width="8.33203125" style="15" customWidth="1"/>
    <col min="3838" max="3838" width="65.6640625" style="15" customWidth="1"/>
    <col min="3839" max="3839" width="15.88671875" style="15" customWidth="1"/>
    <col min="3840" max="3840" width="3.6640625" style="15" customWidth="1"/>
    <col min="3841" max="4092" width="9.109375" style="15"/>
    <col min="4093" max="4093" width="8.33203125" style="15" customWidth="1"/>
    <col min="4094" max="4094" width="65.6640625" style="15" customWidth="1"/>
    <col min="4095" max="4095" width="15.88671875" style="15" customWidth="1"/>
    <col min="4096" max="4096" width="3.6640625" style="15" customWidth="1"/>
    <col min="4097" max="4348" width="9.109375" style="15"/>
    <col min="4349" max="4349" width="8.33203125" style="15" customWidth="1"/>
    <col min="4350" max="4350" width="65.6640625" style="15" customWidth="1"/>
    <col min="4351" max="4351" width="15.88671875" style="15" customWidth="1"/>
    <col min="4352" max="4352" width="3.6640625" style="15" customWidth="1"/>
    <col min="4353" max="4604" width="9.109375" style="15"/>
    <col min="4605" max="4605" width="8.33203125" style="15" customWidth="1"/>
    <col min="4606" max="4606" width="65.6640625" style="15" customWidth="1"/>
    <col min="4607" max="4607" width="15.88671875" style="15" customWidth="1"/>
    <col min="4608" max="4608" width="3.6640625" style="15" customWidth="1"/>
    <col min="4609" max="4860" width="9.109375" style="15"/>
    <col min="4861" max="4861" width="8.33203125" style="15" customWidth="1"/>
    <col min="4862" max="4862" width="65.6640625" style="15" customWidth="1"/>
    <col min="4863" max="4863" width="15.88671875" style="15" customWidth="1"/>
    <col min="4864" max="4864" width="3.6640625" style="15" customWidth="1"/>
    <col min="4865" max="5116" width="9.109375" style="15"/>
    <col min="5117" max="5117" width="8.33203125" style="15" customWidth="1"/>
    <col min="5118" max="5118" width="65.6640625" style="15" customWidth="1"/>
    <col min="5119" max="5119" width="15.88671875" style="15" customWidth="1"/>
    <col min="5120" max="5120" width="3.6640625" style="15" customWidth="1"/>
    <col min="5121" max="5372" width="9.109375" style="15"/>
    <col min="5373" max="5373" width="8.33203125" style="15" customWidth="1"/>
    <col min="5374" max="5374" width="65.6640625" style="15" customWidth="1"/>
    <col min="5375" max="5375" width="15.88671875" style="15" customWidth="1"/>
    <col min="5376" max="5376" width="3.6640625" style="15" customWidth="1"/>
    <col min="5377" max="5628" width="9.109375" style="15"/>
    <col min="5629" max="5629" width="8.33203125" style="15" customWidth="1"/>
    <col min="5630" max="5630" width="65.6640625" style="15" customWidth="1"/>
    <col min="5631" max="5631" width="15.88671875" style="15" customWidth="1"/>
    <col min="5632" max="5632" width="3.6640625" style="15" customWidth="1"/>
    <col min="5633" max="5884" width="9.109375" style="15"/>
    <col min="5885" max="5885" width="8.33203125" style="15" customWidth="1"/>
    <col min="5886" max="5886" width="65.6640625" style="15" customWidth="1"/>
    <col min="5887" max="5887" width="15.88671875" style="15" customWidth="1"/>
    <col min="5888" max="5888" width="3.6640625" style="15" customWidth="1"/>
    <col min="5889" max="6140" width="9.109375" style="15"/>
    <col min="6141" max="6141" width="8.33203125" style="15" customWidth="1"/>
    <col min="6142" max="6142" width="65.6640625" style="15" customWidth="1"/>
    <col min="6143" max="6143" width="15.88671875" style="15" customWidth="1"/>
    <col min="6144" max="6144" width="3.6640625" style="15" customWidth="1"/>
    <col min="6145" max="6396" width="9.109375" style="15"/>
    <col min="6397" max="6397" width="8.33203125" style="15" customWidth="1"/>
    <col min="6398" max="6398" width="65.6640625" style="15" customWidth="1"/>
    <col min="6399" max="6399" width="15.88671875" style="15" customWidth="1"/>
    <col min="6400" max="6400" width="3.6640625" style="15" customWidth="1"/>
    <col min="6401" max="6652" width="9.109375" style="15"/>
    <col min="6653" max="6653" width="8.33203125" style="15" customWidth="1"/>
    <col min="6654" max="6654" width="65.6640625" style="15" customWidth="1"/>
    <col min="6655" max="6655" width="15.88671875" style="15" customWidth="1"/>
    <col min="6656" max="6656" width="3.6640625" style="15" customWidth="1"/>
    <col min="6657" max="6908" width="9.109375" style="15"/>
    <col min="6909" max="6909" width="8.33203125" style="15" customWidth="1"/>
    <col min="6910" max="6910" width="65.6640625" style="15" customWidth="1"/>
    <col min="6911" max="6911" width="15.88671875" style="15" customWidth="1"/>
    <col min="6912" max="6912" width="3.6640625" style="15" customWidth="1"/>
    <col min="6913" max="7164" width="9.109375" style="15"/>
    <col min="7165" max="7165" width="8.33203125" style="15" customWidth="1"/>
    <col min="7166" max="7166" width="65.6640625" style="15" customWidth="1"/>
    <col min="7167" max="7167" width="15.88671875" style="15" customWidth="1"/>
    <col min="7168" max="7168" width="3.6640625" style="15" customWidth="1"/>
    <col min="7169" max="7420" width="9.109375" style="15"/>
    <col min="7421" max="7421" width="8.33203125" style="15" customWidth="1"/>
    <col min="7422" max="7422" width="65.6640625" style="15" customWidth="1"/>
    <col min="7423" max="7423" width="15.88671875" style="15" customWidth="1"/>
    <col min="7424" max="7424" width="3.6640625" style="15" customWidth="1"/>
    <col min="7425" max="7676" width="9.109375" style="15"/>
    <col min="7677" max="7677" width="8.33203125" style="15" customWidth="1"/>
    <col min="7678" max="7678" width="65.6640625" style="15" customWidth="1"/>
    <col min="7679" max="7679" width="15.88671875" style="15" customWidth="1"/>
    <col min="7680" max="7680" width="3.6640625" style="15" customWidth="1"/>
    <col min="7681" max="7932" width="9.109375" style="15"/>
    <col min="7933" max="7933" width="8.33203125" style="15" customWidth="1"/>
    <col min="7934" max="7934" width="65.6640625" style="15" customWidth="1"/>
    <col min="7935" max="7935" width="15.88671875" style="15" customWidth="1"/>
    <col min="7936" max="7936" width="3.6640625" style="15" customWidth="1"/>
    <col min="7937" max="8188" width="9.109375" style="15"/>
    <col min="8189" max="8189" width="8.33203125" style="15" customWidth="1"/>
    <col min="8190" max="8190" width="65.6640625" style="15" customWidth="1"/>
    <col min="8191" max="8191" width="15.88671875" style="15" customWidth="1"/>
    <col min="8192" max="8192" width="3.6640625" style="15" customWidth="1"/>
    <col min="8193" max="8444" width="9.109375" style="15"/>
    <col min="8445" max="8445" width="8.33203125" style="15" customWidth="1"/>
    <col min="8446" max="8446" width="65.6640625" style="15" customWidth="1"/>
    <col min="8447" max="8447" width="15.88671875" style="15" customWidth="1"/>
    <col min="8448" max="8448" width="3.6640625" style="15" customWidth="1"/>
    <col min="8449" max="8700" width="9.109375" style="15"/>
    <col min="8701" max="8701" width="8.33203125" style="15" customWidth="1"/>
    <col min="8702" max="8702" width="65.6640625" style="15" customWidth="1"/>
    <col min="8703" max="8703" width="15.88671875" style="15" customWidth="1"/>
    <col min="8704" max="8704" width="3.6640625" style="15" customWidth="1"/>
    <col min="8705" max="8956" width="9.109375" style="15"/>
    <col min="8957" max="8957" width="8.33203125" style="15" customWidth="1"/>
    <col min="8958" max="8958" width="65.6640625" style="15" customWidth="1"/>
    <col min="8959" max="8959" width="15.88671875" style="15" customWidth="1"/>
    <col min="8960" max="8960" width="3.6640625" style="15" customWidth="1"/>
    <col min="8961" max="9212" width="9.109375" style="15"/>
    <col min="9213" max="9213" width="8.33203125" style="15" customWidth="1"/>
    <col min="9214" max="9214" width="65.6640625" style="15" customWidth="1"/>
    <col min="9215" max="9215" width="15.88671875" style="15" customWidth="1"/>
    <col min="9216" max="9216" width="3.6640625" style="15" customWidth="1"/>
    <col min="9217" max="9468" width="9.109375" style="15"/>
    <col min="9469" max="9469" width="8.33203125" style="15" customWidth="1"/>
    <col min="9470" max="9470" width="65.6640625" style="15" customWidth="1"/>
    <col min="9471" max="9471" width="15.88671875" style="15" customWidth="1"/>
    <col min="9472" max="9472" width="3.6640625" style="15" customWidth="1"/>
    <col min="9473" max="9724" width="9.109375" style="15"/>
    <col min="9725" max="9725" width="8.33203125" style="15" customWidth="1"/>
    <col min="9726" max="9726" width="65.6640625" style="15" customWidth="1"/>
    <col min="9727" max="9727" width="15.88671875" style="15" customWidth="1"/>
    <col min="9728" max="9728" width="3.6640625" style="15" customWidth="1"/>
    <col min="9729" max="9980" width="9.109375" style="15"/>
    <col min="9981" max="9981" width="8.33203125" style="15" customWidth="1"/>
    <col min="9982" max="9982" width="65.6640625" style="15" customWidth="1"/>
    <col min="9983" max="9983" width="15.88671875" style="15" customWidth="1"/>
    <col min="9984" max="9984" width="3.6640625" style="15" customWidth="1"/>
    <col min="9985" max="10236" width="9.109375" style="15"/>
    <col min="10237" max="10237" width="8.33203125" style="15" customWidth="1"/>
    <col min="10238" max="10238" width="65.6640625" style="15" customWidth="1"/>
    <col min="10239" max="10239" width="15.88671875" style="15" customWidth="1"/>
    <col min="10240" max="10240" width="3.6640625" style="15" customWidth="1"/>
    <col min="10241" max="10492" width="9.109375" style="15"/>
    <col min="10493" max="10493" width="8.33203125" style="15" customWidth="1"/>
    <col min="10494" max="10494" width="65.6640625" style="15" customWidth="1"/>
    <col min="10495" max="10495" width="15.88671875" style="15" customWidth="1"/>
    <col min="10496" max="10496" width="3.6640625" style="15" customWidth="1"/>
    <col min="10497" max="10748" width="9.109375" style="15"/>
    <col min="10749" max="10749" width="8.33203125" style="15" customWidth="1"/>
    <col min="10750" max="10750" width="65.6640625" style="15" customWidth="1"/>
    <col min="10751" max="10751" width="15.88671875" style="15" customWidth="1"/>
    <col min="10752" max="10752" width="3.6640625" style="15" customWidth="1"/>
    <col min="10753" max="11004" width="9.109375" style="15"/>
    <col min="11005" max="11005" width="8.33203125" style="15" customWidth="1"/>
    <col min="11006" max="11006" width="65.6640625" style="15" customWidth="1"/>
    <col min="11007" max="11007" width="15.88671875" style="15" customWidth="1"/>
    <col min="11008" max="11008" width="3.6640625" style="15" customWidth="1"/>
    <col min="11009" max="11260" width="9.109375" style="15"/>
    <col min="11261" max="11261" width="8.33203125" style="15" customWidth="1"/>
    <col min="11262" max="11262" width="65.6640625" style="15" customWidth="1"/>
    <col min="11263" max="11263" width="15.88671875" style="15" customWidth="1"/>
    <col min="11264" max="11264" width="3.6640625" style="15" customWidth="1"/>
    <col min="11265" max="11516" width="9.109375" style="15"/>
    <col min="11517" max="11517" width="8.33203125" style="15" customWidth="1"/>
    <col min="11518" max="11518" width="65.6640625" style="15" customWidth="1"/>
    <col min="11519" max="11519" width="15.88671875" style="15" customWidth="1"/>
    <col min="11520" max="11520" width="3.6640625" style="15" customWidth="1"/>
    <col min="11521" max="11772" width="9.109375" style="15"/>
    <col min="11773" max="11773" width="8.33203125" style="15" customWidth="1"/>
    <col min="11774" max="11774" width="65.6640625" style="15" customWidth="1"/>
    <col min="11775" max="11775" width="15.88671875" style="15" customWidth="1"/>
    <col min="11776" max="11776" width="3.6640625" style="15" customWidth="1"/>
    <col min="11777" max="12028" width="9.109375" style="15"/>
    <col min="12029" max="12029" width="8.33203125" style="15" customWidth="1"/>
    <col min="12030" max="12030" width="65.6640625" style="15" customWidth="1"/>
    <col min="12031" max="12031" width="15.88671875" style="15" customWidth="1"/>
    <col min="12032" max="12032" width="3.6640625" style="15" customWidth="1"/>
    <col min="12033" max="12284" width="9.109375" style="15"/>
    <col min="12285" max="12285" width="8.33203125" style="15" customWidth="1"/>
    <col min="12286" max="12286" width="65.6640625" style="15" customWidth="1"/>
    <col min="12287" max="12287" width="15.88671875" style="15" customWidth="1"/>
    <col min="12288" max="12288" width="3.6640625" style="15" customWidth="1"/>
    <col min="12289" max="12540" width="9.109375" style="15"/>
    <col min="12541" max="12541" width="8.33203125" style="15" customWidth="1"/>
    <col min="12542" max="12542" width="65.6640625" style="15" customWidth="1"/>
    <col min="12543" max="12543" width="15.88671875" style="15" customWidth="1"/>
    <col min="12544" max="12544" width="3.6640625" style="15" customWidth="1"/>
    <col min="12545" max="12796" width="9.109375" style="15"/>
    <col min="12797" max="12797" width="8.33203125" style="15" customWidth="1"/>
    <col min="12798" max="12798" width="65.6640625" style="15" customWidth="1"/>
    <col min="12799" max="12799" width="15.88671875" style="15" customWidth="1"/>
    <col min="12800" max="12800" width="3.6640625" style="15" customWidth="1"/>
    <col min="12801" max="13052" width="9.109375" style="15"/>
    <col min="13053" max="13053" width="8.33203125" style="15" customWidth="1"/>
    <col min="13054" max="13054" width="65.6640625" style="15" customWidth="1"/>
    <col min="13055" max="13055" width="15.88671875" style="15" customWidth="1"/>
    <col min="13056" max="13056" width="3.6640625" style="15" customWidth="1"/>
    <col min="13057" max="13308" width="9.109375" style="15"/>
    <col min="13309" max="13309" width="8.33203125" style="15" customWidth="1"/>
    <col min="13310" max="13310" width="65.6640625" style="15" customWidth="1"/>
    <col min="13311" max="13311" width="15.88671875" style="15" customWidth="1"/>
    <col min="13312" max="13312" width="3.6640625" style="15" customWidth="1"/>
    <col min="13313" max="13564" width="9.109375" style="15"/>
    <col min="13565" max="13565" width="8.33203125" style="15" customWidth="1"/>
    <col min="13566" max="13566" width="65.6640625" style="15" customWidth="1"/>
    <col min="13567" max="13567" width="15.88671875" style="15" customWidth="1"/>
    <col min="13568" max="13568" width="3.6640625" style="15" customWidth="1"/>
    <col min="13569" max="13820" width="9.109375" style="15"/>
    <col min="13821" max="13821" width="8.33203125" style="15" customWidth="1"/>
    <col min="13822" max="13822" width="65.6640625" style="15" customWidth="1"/>
    <col min="13823" max="13823" width="15.88671875" style="15" customWidth="1"/>
    <col min="13824" max="13824" width="3.6640625" style="15" customWidth="1"/>
    <col min="13825" max="14076" width="9.109375" style="15"/>
    <col min="14077" max="14077" width="8.33203125" style="15" customWidth="1"/>
    <col min="14078" max="14078" width="65.6640625" style="15" customWidth="1"/>
    <col min="14079" max="14079" width="15.88671875" style="15" customWidth="1"/>
    <col min="14080" max="14080" width="3.6640625" style="15" customWidth="1"/>
    <col min="14081" max="14332" width="9.109375" style="15"/>
    <col min="14333" max="14333" width="8.33203125" style="15" customWidth="1"/>
    <col min="14334" max="14334" width="65.6640625" style="15" customWidth="1"/>
    <col min="14335" max="14335" width="15.88671875" style="15" customWidth="1"/>
    <col min="14336" max="14336" width="3.6640625" style="15" customWidth="1"/>
    <col min="14337" max="14588" width="9.109375" style="15"/>
    <col min="14589" max="14589" width="8.33203125" style="15" customWidth="1"/>
    <col min="14590" max="14590" width="65.6640625" style="15" customWidth="1"/>
    <col min="14591" max="14591" width="15.88671875" style="15" customWidth="1"/>
    <col min="14592" max="14592" width="3.6640625" style="15" customWidth="1"/>
    <col min="14593" max="14844" width="9.109375" style="15"/>
    <col min="14845" max="14845" width="8.33203125" style="15" customWidth="1"/>
    <col min="14846" max="14846" width="65.6640625" style="15" customWidth="1"/>
    <col min="14847" max="14847" width="15.88671875" style="15" customWidth="1"/>
    <col min="14848" max="14848" width="3.6640625" style="15" customWidth="1"/>
    <col min="14849" max="15100" width="9.109375" style="15"/>
    <col min="15101" max="15101" width="8.33203125" style="15" customWidth="1"/>
    <col min="15102" max="15102" width="65.6640625" style="15" customWidth="1"/>
    <col min="15103" max="15103" width="15.88671875" style="15" customWidth="1"/>
    <col min="15104" max="15104" width="3.6640625" style="15" customWidth="1"/>
    <col min="15105" max="15356" width="9.109375" style="15"/>
    <col min="15357" max="15357" width="8.33203125" style="15" customWidth="1"/>
    <col min="15358" max="15358" width="65.6640625" style="15" customWidth="1"/>
    <col min="15359" max="15359" width="15.88671875" style="15" customWidth="1"/>
    <col min="15360" max="15360" width="3.6640625" style="15" customWidth="1"/>
    <col min="15361" max="15612" width="9.109375" style="15"/>
    <col min="15613" max="15613" width="8.33203125" style="15" customWidth="1"/>
    <col min="15614" max="15614" width="65.6640625" style="15" customWidth="1"/>
    <col min="15615" max="15615" width="15.88671875" style="15" customWidth="1"/>
    <col min="15616" max="15616" width="3.6640625" style="15" customWidth="1"/>
    <col min="15617" max="15868" width="9.109375" style="15"/>
    <col min="15869" max="15869" width="8.33203125" style="15" customWidth="1"/>
    <col min="15870" max="15870" width="65.6640625" style="15" customWidth="1"/>
    <col min="15871" max="15871" width="15.88671875" style="15" customWidth="1"/>
    <col min="15872" max="15872" width="3.6640625" style="15" customWidth="1"/>
    <col min="15873" max="16124" width="9.109375" style="15"/>
    <col min="16125" max="16125" width="8.33203125" style="15" customWidth="1"/>
    <col min="16126" max="16126" width="65.6640625" style="15" customWidth="1"/>
    <col min="16127" max="16127" width="15.88671875" style="15" customWidth="1"/>
    <col min="16128" max="16128" width="3.6640625" style="15" customWidth="1"/>
    <col min="16129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6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6"/>
    </row>
    <row r="10" spans="1:4" ht="13.8" x14ac:dyDescent="0.25">
      <c r="A10" s="96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7" t="s">
        <v>49</v>
      </c>
      <c r="B13" s="98" t="s">
        <v>526</v>
      </c>
      <c r="C13" s="99">
        <v>243700</v>
      </c>
    </row>
    <row r="14" spans="1:4" ht="15.6" x14ac:dyDescent="0.25">
      <c r="A14" s="97" t="s">
        <v>48</v>
      </c>
      <c r="B14" s="98" t="s">
        <v>527</v>
      </c>
      <c r="C14" s="99">
        <v>259000</v>
      </c>
    </row>
    <row r="15" spans="1:4" ht="15.6" x14ac:dyDescent="0.25">
      <c r="A15" s="97" t="s">
        <v>50</v>
      </c>
      <c r="B15" s="98" t="s">
        <v>528</v>
      </c>
      <c r="C15" s="100">
        <f>38900-600</f>
        <v>38300</v>
      </c>
    </row>
    <row r="16" spans="1:4" ht="15.6" x14ac:dyDescent="0.25">
      <c r="A16" s="97" t="s">
        <v>51</v>
      </c>
      <c r="B16" s="98" t="s">
        <v>529</v>
      </c>
      <c r="C16" s="100">
        <f>824200+25500</f>
        <v>849700</v>
      </c>
    </row>
    <row r="17" spans="1:3" ht="15.6" x14ac:dyDescent="0.25">
      <c r="A17" s="97" t="s">
        <v>52</v>
      </c>
      <c r="B17" s="101" t="s">
        <v>530</v>
      </c>
      <c r="C17" s="100">
        <v>4100</v>
      </c>
    </row>
    <row r="18" spans="1:3" ht="15.6" x14ac:dyDescent="0.25">
      <c r="A18" s="97" t="s">
        <v>53</v>
      </c>
      <c r="B18" s="98" t="s">
        <v>531</v>
      </c>
      <c r="C18" s="100">
        <v>25200</v>
      </c>
    </row>
    <row r="19" spans="1:3" ht="31.2" x14ac:dyDescent="0.25">
      <c r="A19" s="97" t="s">
        <v>54</v>
      </c>
      <c r="B19" s="98" t="s">
        <v>532</v>
      </c>
      <c r="C19" s="99">
        <v>600</v>
      </c>
    </row>
    <row r="20" spans="1:3" ht="31.2" x14ac:dyDescent="0.25">
      <c r="A20" s="97" t="s">
        <v>55</v>
      </c>
      <c r="B20" s="98" t="s">
        <v>533</v>
      </c>
      <c r="C20" s="99">
        <v>500</v>
      </c>
    </row>
    <row r="21" spans="1:3" ht="31.2" x14ac:dyDescent="0.25">
      <c r="A21" s="97" t="s">
        <v>56</v>
      </c>
      <c r="B21" s="98" t="s">
        <v>534</v>
      </c>
      <c r="C21" s="100">
        <v>2700</v>
      </c>
    </row>
    <row r="22" spans="1:3" ht="15.6" x14ac:dyDescent="0.25">
      <c r="A22" s="97" t="s">
        <v>57</v>
      </c>
      <c r="B22" s="98" t="s">
        <v>535</v>
      </c>
      <c r="C22" s="100">
        <v>9000</v>
      </c>
    </row>
    <row r="23" spans="1:3" ht="15.6" x14ac:dyDescent="0.25">
      <c r="A23" s="97" t="s">
        <v>58</v>
      </c>
      <c r="B23" s="98" t="s">
        <v>536</v>
      </c>
      <c r="C23" s="99">
        <v>25700</v>
      </c>
    </row>
    <row r="24" spans="1:3" ht="31.2" x14ac:dyDescent="0.25">
      <c r="A24" s="97" t="s">
        <v>59</v>
      </c>
      <c r="B24" s="98" t="s">
        <v>537</v>
      </c>
      <c r="C24" s="100">
        <f>16500-4600</f>
        <v>11900</v>
      </c>
    </row>
    <row r="25" spans="1:3" ht="15.6" x14ac:dyDescent="0.25">
      <c r="A25" s="97" t="s">
        <v>538</v>
      </c>
      <c r="B25" s="98" t="s">
        <v>539</v>
      </c>
      <c r="C25" s="99">
        <f>219700-4400-19200</f>
        <v>196100</v>
      </c>
    </row>
    <row r="26" spans="1:3" ht="15.6" x14ac:dyDescent="0.25">
      <c r="A26" s="97" t="s">
        <v>60</v>
      </c>
      <c r="B26" s="98" t="s">
        <v>540</v>
      </c>
      <c r="C26" s="117">
        <f>499300+5000</f>
        <v>504300</v>
      </c>
    </row>
    <row r="27" spans="1:3" ht="15.6" x14ac:dyDescent="0.25">
      <c r="A27" s="97" t="s">
        <v>90</v>
      </c>
      <c r="B27" s="98" t="s">
        <v>541</v>
      </c>
      <c r="C27" s="99">
        <f>1389800+103500+143000-39000</f>
        <v>1597300</v>
      </c>
    </row>
    <row r="28" spans="1:3" ht="15.6" x14ac:dyDescent="0.25">
      <c r="A28" s="97" t="s">
        <v>91</v>
      </c>
      <c r="B28" s="98" t="s">
        <v>542</v>
      </c>
      <c r="C28" s="99">
        <f>19300+2000</f>
        <v>21300</v>
      </c>
    </row>
    <row r="29" spans="1:3" ht="15.6" x14ac:dyDescent="0.25">
      <c r="A29" s="97" t="s">
        <v>92</v>
      </c>
      <c r="B29" s="102" t="s">
        <v>543</v>
      </c>
      <c r="C29" s="103">
        <v>157500</v>
      </c>
    </row>
    <row r="30" spans="1:3" ht="15.6" x14ac:dyDescent="0.25">
      <c r="A30" s="97" t="s">
        <v>93</v>
      </c>
      <c r="B30" s="98" t="s">
        <v>544</v>
      </c>
      <c r="C30" s="99">
        <f>0+1700</f>
        <v>1700</v>
      </c>
    </row>
    <row r="31" spans="1:3" ht="15.6" x14ac:dyDescent="0.25">
      <c r="A31" s="97" t="s">
        <v>94</v>
      </c>
      <c r="B31" s="98" t="s">
        <v>545</v>
      </c>
      <c r="C31" s="99">
        <v>2000</v>
      </c>
    </row>
    <row r="32" spans="1:3" ht="15.6" x14ac:dyDescent="0.25">
      <c r="A32" s="97" t="s">
        <v>124</v>
      </c>
      <c r="B32" s="98" t="s">
        <v>546</v>
      </c>
      <c r="C32" s="117">
        <f>8176+1301</f>
        <v>9477</v>
      </c>
    </row>
    <row r="33" spans="1:3" ht="31.2" x14ac:dyDescent="0.25">
      <c r="A33" s="97" t="s">
        <v>125</v>
      </c>
      <c r="B33" s="98" t="s">
        <v>547</v>
      </c>
      <c r="C33" s="99">
        <v>43896</v>
      </c>
    </row>
    <row r="34" spans="1:3" ht="46.8" x14ac:dyDescent="0.25">
      <c r="A34" s="97" t="s">
        <v>126</v>
      </c>
      <c r="B34" s="104" t="s">
        <v>548</v>
      </c>
      <c r="C34" s="99">
        <f>72160+146960</f>
        <v>219120</v>
      </c>
    </row>
    <row r="35" spans="1:3" ht="31.2" x14ac:dyDescent="0.25">
      <c r="A35" s="97" t="s">
        <v>127</v>
      </c>
      <c r="B35" s="98" t="s">
        <v>549</v>
      </c>
      <c r="C35" s="99">
        <v>70130</v>
      </c>
    </row>
    <row r="36" spans="1:3" ht="31.2" x14ac:dyDescent="0.25">
      <c r="A36" s="97" t="s">
        <v>128</v>
      </c>
      <c r="B36" s="98" t="s">
        <v>550</v>
      </c>
      <c r="C36" s="99">
        <v>31082</v>
      </c>
    </row>
    <row r="37" spans="1:3" s="7" customFormat="1" ht="15.6" x14ac:dyDescent="0.25">
      <c r="A37" s="105"/>
      <c r="B37" s="106" t="s">
        <v>551</v>
      </c>
      <c r="C37" s="107">
        <f>SUM(C13:C36)</f>
        <v>4324305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09" customFormat="1" ht="15.6" x14ac:dyDescent="0.3">
      <c r="A43" s="108"/>
      <c r="B43" s="2"/>
    </row>
    <row r="44" spans="1:3" s="109" customFormat="1" ht="15" x14ac:dyDescent="0.25">
      <c r="A44" s="108"/>
    </row>
    <row r="45" spans="1:3" s="109" customFormat="1" ht="15" x14ac:dyDescent="0.25">
      <c r="A45" s="108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2024-12-18T12:51:36Z</cp:lastPrinted>
  <dcterms:created xsi:type="dcterms:W3CDTF">2001-01-28T19:21:19Z</dcterms:created>
  <dcterms:modified xsi:type="dcterms:W3CDTF">2024-12-18T15:11:06Z</dcterms:modified>
</cp:coreProperties>
</file>