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lapkritis 2024/"/>
    </mc:Choice>
  </mc:AlternateContent>
  <xr:revisionPtr revIDLastSave="0" documentId="8_{ABB4FDA6-7E99-462E-B4FE-CC3BF66360A0}" xr6:coauthVersionLast="47" xr6:coauthVersionMax="47" xr10:uidLastSave="{00000000-0000-0000-0000-000000000000}"/>
  <bookViews>
    <workbookView xWindow="-108" yWindow="-108" windowWidth="23256" windowHeight="12576" tabRatio="758" activeTab="2" xr2:uid="{73F44E31-E58D-4764-AF59-9C7F14356FD3}"/>
  </bookViews>
  <sheets>
    <sheet name="1  priedas" sheetId="15" r:id="rId1"/>
    <sheet name="2  priedas" sheetId="18" r:id="rId2"/>
    <sheet name="3  priedas" sheetId="19" r:id="rId3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225" i="19" l="1"/>
  <c r="C221" i="19"/>
  <c r="C52" i="19"/>
  <c r="C38" i="19"/>
  <c r="C191" i="19"/>
  <c r="C224" i="19"/>
  <c r="L91" i="19"/>
  <c r="L92" i="19"/>
  <c r="C101" i="19"/>
  <c r="C19" i="18"/>
  <c r="C14" i="18"/>
  <c r="C12" i="18"/>
  <c r="C18" i="18"/>
  <c r="C16" i="18"/>
  <c r="L26" i="19"/>
  <c r="L29" i="19"/>
  <c r="C26" i="18"/>
  <c r="C28" i="15"/>
  <c r="C27" i="15"/>
  <c r="F245" i="19"/>
  <c r="C24" i="18"/>
  <c r="C38" i="15"/>
  <c r="L174" i="19"/>
  <c r="L147" i="19"/>
  <c r="L180" i="19"/>
  <c r="L162" i="19"/>
  <c r="L182" i="19"/>
  <c r="L154" i="19"/>
  <c r="L168" i="19"/>
  <c r="L248" i="19"/>
  <c r="L121" i="19"/>
  <c r="L116" i="19"/>
  <c r="L117" i="19"/>
  <c r="C17" i="18"/>
  <c r="C29" i="15"/>
  <c r="F19" i="19"/>
  <c r="F217" i="19"/>
  <c r="C25" i="18"/>
  <c r="C37" i="15"/>
  <c r="F212" i="19"/>
  <c r="F206" i="19"/>
  <c r="F208" i="19"/>
  <c r="F226" i="19"/>
  <c r="C42" i="15"/>
  <c r="O86" i="19"/>
  <c r="O107" i="19"/>
  <c r="I97" i="19"/>
  <c r="C15" i="18"/>
  <c r="F46" i="19"/>
  <c r="C13" i="18"/>
  <c r="F18" i="19"/>
  <c r="F209" i="19"/>
  <c r="C22" i="18"/>
  <c r="C32" i="15"/>
  <c r="C21" i="18" l="1"/>
  <c r="C11" i="15"/>
  <c r="C17" i="19"/>
  <c r="F216" i="19"/>
  <c r="C131" i="19"/>
  <c r="C24" i="19" l="1"/>
  <c r="C28" i="19"/>
  <c r="C25" i="19"/>
  <c r="C22" i="19"/>
  <c r="C21" i="19"/>
  <c r="C182" i="19"/>
  <c r="C118" i="19"/>
  <c r="C116" i="19"/>
  <c r="C119" i="19"/>
  <c r="C248" i="19"/>
  <c r="C117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I182" i="19" l="1"/>
  <c r="I181" i="19"/>
  <c r="I174" i="19"/>
  <c r="I177" i="19"/>
  <c r="I168" i="19"/>
  <c r="I162" i="19"/>
  <c r="I155" i="19"/>
  <c r="I154" i="19"/>
  <c r="I148" i="19"/>
  <c r="I147" i="19"/>
  <c r="I192" i="19"/>
  <c r="C23" i="18"/>
  <c r="C33" i="15"/>
  <c r="C36" i="15"/>
  <c r="F180" i="19"/>
  <c r="F155" i="19"/>
  <c r="F148" i="19"/>
  <c r="F181" i="19"/>
  <c r="L118" i="19" l="1"/>
  <c r="F106" i="19"/>
  <c r="F97" i="19" s="1"/>
  <c r="C48" i="15"/>
  <c r="O247" i="19"/>
  <c r="L249" i="19" l="1"/>
  <c r="C249" i="19"/>
  <c r="C226" i="19"/>
  <c r="C20" i="15"/>
  <c r="F194" i="19" l="1"/>
  <c r="L155" i="19" l="1"/>
  <c r="L148" i="19"/>
  <c r="F223" i="19"/>
  <c r="C44" i="15"/>
  <c r="F214" i="19" l="1"/>
  <c r="C78" i="19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5" i="19"/>
  <c r="H205" i="19"/>
  <c r="H204" i="19" s="1"/>
  <c r="I205" i="19"/>
  <c r="I204" i="19" s="1"/>
  <c r="J205" i="19"/>
  <c r="J204" i="19" s="1"/>
  <c r="K205" i="19"/>
  <c r="L205" i="19"/>
  <c r="L204" i="19" s="1"/>
  <c r="D205" i="19"/>
  <c r="E205" i="19"/>
  <c r="E204" i="19" s="1"/>
  <c r="C112" i="19"/>
  <c r="F176" i="19"/>
  <c r="C176" i="19"/>
  <c r="F178" i="19"/>
  <c r="F177" i="19" s="1"/>
  <c r="C178" i="19"/>
  <c r="O155" i="19"/>
  <c r="F154" i="19"/>
  <c r="C154" i="19"/>
  <c r="L95" i="19"/>
  <c r="O95" i="19" s="1"/>
  <c r="C213" i="19"/>
  <c r="O213" i="19" s="1"/>
  <c r="C240" i="19"/>
  <c r="O240" i="19" s="1"/>
  <c r="C241" i="19"/>
  <c r="C235" i="19"/>
  <c r="O235" i="19" s="1"/>
  <c r="C223" i="19"/>
  <c r="O223" i="19" s="1"/>
  <c r="C232" i="19"/>
  <c r="O232" i="19" s="1"/>
  <c r="C234" i="19"/>
  <c r="O234" i="19" s="1"/>
  <c r="C184" i="19"/>
  <c r="C183" i="19" s="1"/>
  <c r="C102" i="19"/>
  <c r="C97" i="19" s="1"/>
  <c r="C69" i="19"/>
  <c r="O69" i="19" s="1"/>
  <c r="C66" i="19"/>
  <c r="C62" i="19"/>
  <c r="O62" i="19" s="1"/>
  <c r="C67" i="19"/>
  <c r="O67" i="19" s="1"/>
  <c r="F195" i="19"/>
  <c r="O195" i="19" s="1"/>
  <c r="O246" i="19"/>
  <c r="O208" i="19"/>
  <c r="F207" i="19"/>
  <c r="O207" i="19" s="1"/>
  <c r="O212" i="19"/>
  <c r="O226" i="19"/>
  <c r="F221" i="19"/>
  <c r="F220" i="19"/>
  <c r="O220" i="19" s="1"/>
  <c r="F219" i="19"/>
  <c r="O219" i="19" s="1"/>
  <c r="O245" i="19"/>
  <c r="O194" i="19"/>
  <c r="F193" i="19"/>
  <c r="O193" i="19" s="1"/>
  <c r="C40" i="15"/>
  <c r="C163" i="19"/>
  <c r="C164" i="19"/>
  <c r="O164" i="19" s="1"/>
  <c r="O173" i="19"/>
  <c r="C170" i="19"/>
  <c r="O170" i="19" s="1"/>
  <c r="O160" i="19"/>
  <c r="O167" i="19"/>
  <c r="O158" i="19"/>
  <c r="C150" i="19"/>
  <c r="O150" i="19" s="1"/>
  <c r="C147" i="19"/>
  <c r="C175" i="19"/>
  <c r="O153" i="19"/>
  <c r="C202" i="19"/>
  <c r="O202" i="19" s="1"/>
  <c r="I183" i="19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3" i="19"/>
  <c r="C252" i="19"/>
  <c r="O252" i="19" s="1"/>
  <c r="F251" i="19"/>
  <c r="G249" i="19"/>
  <c r="F249" i="19"/>
  <c r="D249" i="19"/>
  <c r="G248" i="19"/>
  <c r="F248" i="19"/>
  <c r="O248" i="19" s="1"/>
  <c r="D248" i="19"/>
  <c r="O244" i="19"/>
  <c r="O243" i="19"/>
  <c r="O242" i="19"/>
  <c r="O241" i="19"/>
  <c r="O239" i="19"/>
  <c r="O238" i="19"/>
  <c r="O237" i="19"/>
  <c r="O236" i="19"/>
  <c r="O233" i="19"/>
  <c r="O231" i="19"/>
  <c r="C230" i="19"/>
  <c r="O230" i="19" s="1"/>
  <c r="O229" i="19"/>
  <c r="O228" i="19"/>
  <c r="O227" i="19"/>
  <c r="O225" i="19"/>
  <c r="O224" i="19"/>
  <c r="F222" i="19"/>
  <c r="O222" i="19" s="1"/>
  <c r="O221" i="19"/>
  <c r="O218" i="19"/>
  <c r="O217" i="19"/>
  <c r="O216" i="19"/>
  <c r="O215" i="19"/>
  <c r="O214" i="19"/>
  <c r="O211" i="19"/>
  <c r="O210" i="19"/>
  <c r="O209" i="19"/>
  <c r="N205" i="19"/>
  <c r="N204" i="19" s="1"/>
  <c r="M205" i="19"/>
  <c r="M204" i="19" s="1"/>
  <c r="K204" i="19"/>
  <c r="O201" i="19"/>
  <c r="O200" i="19"/>
  <c r="O199" i="19"/>
  <c r="O198" i="19"/>
  <c r="O197" i="19"/>
  <c r="N196" i="19"/>
  <c r="M196" i="19"/>
  <c r="L196" i="19"/>
  <c r="K196" i="19"/>
  <c r="J196" i="19"/>
  <c r="I196" i="19"/>
  <c r="H196" i="19"/>
  <c r="G196" i="19"/>
  <c r="F196" i="19"/>
  <c r="E196" i="19"/>
  <c r="D196" i="19"/>
  <c r="O192" i="19"/>
  <c r="O191" i="19"/>
  <c r="O190" i="19"/>
  <c r="O189" i="19"/>
  <c r="O188" i="19"/>
  <c r="F187" i="19"/>
  <c r="O187" i="19" s="1"/>
  <c r="O186" i="19"/>
  <c r="O185" i="19"/>
  <c r="N183" i="19"/>
  <c r="M183" i="19"/>
  <c r="L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G169" i="19"/>
  <c r="G168" i="19" s="1"/>
  <c r="F169" i="19"/>
  <c r="F168" i="19" s="1"/>
  <c r="D169" i="19"/>
  <c r="C169" i="19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105" i="19"/>
  <c r="L97" i="19" s="1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C20" i="18" l="1"/>
  <c r="D168" i="19"/>
  <c r="J48" i="19"/>
  <c r="F57" i="19"/>
  <c r="F56" i="19" s="1"/>
  <c r="L57" i="19"/>
  <c r="L56" i="19" s="1"/>
  <c r="O59" i="19"/>
  <c r="C57" i="19"/>
  <c r="C168" i="19"/>
  <c r="O168" i="19" s="1"/>
  <c r="C174" i="19"/>
  <c r="N48" i="19"/>
  <c r="K12" i="19"/>
  <c r="E89" i="19"/>
  <c r="D162" i="19"/>
  <c r="O184" i="19"/>
  <c r="C31" i="15"/>
  <c r="C57" i="15" s="1"/>
  <c r="C205" i="19"/>
  <c r="C204" i="19" s="1"/>
  <c r="O169" i="19"/>
  <c r="K89" i="19"/>
  <c r="H115" i="19"/>
  <c r="O149" i="19"/>
  <c r="C148" i="19"/>
  <c r="O176" i="19"/>
  <c r="M12" i="19"/>
  <c r="O127" i="19"/>
  <c r="G204" i="19"/>
  <c r="O206" i="19"/>
  <c r="O205" i="19" s="1"/>
  <c r="F205" i="19"/>
  <c r="F204" i="19" s="1"/>
  <c r="C48" i="19"/>
  <c r="O154" i="19"/>
  <c r="O102" i="19"/>
  <c r="M115" i="19"/>
  <c r="F115" i="19"/>
  <c r="J115" i="19"/>
  <c r="C140" i="19"/>
  <c r="G14" i="19"/>
  <c r="G12" i="19" s="1"/>
  <c r="C196" i="19"/>
  <c r="O111" i="19"/>
  <c r="I115" i="19"/>
  <c r="M146" i="19"/>
  <c r="O171" i="19"/>
  <c r="O42" i="19"/>
  <c r="D48" i="19"/>
  <c r="H48" i="19"/>
  <c r="L48" i="19"/>
  <c r="C89" i="19"/>
  <c r="G89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F183" i="19"/>
  <c r="O183" i="19" s="1"/>
  <c r="N89" i="19"/>
  <c r="O118" i="19"/>
  <c r="E115" i="19"/>
  <c r="C162" i="19"/>
  <c r="O140" i="19"/>
  <c r="O49" i="19"/>
  <c r="H146" i="19"/>
  <c r="N146" i="19"/>
  <c r="O174" i="19"/>
  <c r="N12" i="19"/>
  <c r="K115" i="19"/>
  <c r="O249" i="19"/>
  <c r="O156" i="19"/>
  <c r="G146" i="19"/>
  <c r="J146" i="19"/>
  <c r="O163" i="19"/>
  <c r="O196" i="19"/>
  <c r="D115" i="19"/>
  <c r="O152" i="19"/>
  <c r="C41" i="19"/>
  <c r="O41" i="19" s="1"/>
  <c r="I89" i="19"/>
  <c r="O117" i="19"/>
  <c r="D204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O119" i="19"/>
  <c r="C115" i="19"/>
  <c r="O124" i="19"/>
  <c r="L123" i="19"/>
  <c r="C251" i="19"/>
  <c r="O251" i="19" s="1"/>
  <c r="O253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D146" i="19" s="1"/>
  <c r="O180" i="19"/>
  <c r="O97" i="19"/>
  <c r="O147" i="19"/>
  <c r="O162" i="19"/>
  <c r="L90" i="19"/>
  <c r="C159" i="19"/>
  <c r="O159" i="19" s="1"/>
  <c r="I57" i="19" l="1"/>
  <c r="I56" i="19" s="1"/>
  <c r="I250" i="19" s="1"/>
  <c r="O204" i="19"/>
  <c r="O48" i="19"/>
  <c r="G250" i="19"/>
  <c r="H250" i="19"/>
  <c r="J250" i="19"/>
  <c r="K250" i="19"/>
  <c r="F146" i="19"/>
  <c r="F250" i="19" s="1"/>
  <c r="N250" i="19"/>
  <c r="M250" i="19"/>
  <c r="E250" i="19"/>
  <c r="D250" i="19"/>
  <c r="O148" i="19"/>
  <c r="C146" i="19"/>
  <c r="C56" i="19"/>
  <c r="O14" i="19"/>
  <c r="C12" i="19"/>
  <c r="L115" i="19"/>
  <c r="O115" i="19" s="1"/>
  <c r="O123" i="19"/>
  <c r="L89" i="19"/>
  <c r="O89" i="19" s="1"/>
  <c r="O90" i="19"/>
  <c r="O57" i="19" l="1"/>
  <c r="O56" i="19"/>
  <c r="O146" i="19"/>
  <c r="O12" i="19"/>
  <c r="C250" i="19"/>
  <c r="L250" i="19"/>
  <c r="O250" i="19" l="1"/>
</calcChain>
</file>

<file path=xl/sharedStrings.xml><?xml version="1.0" encoding="utf-8"?>
<sst xmlns="http://schemas.openxmlformats.org/spreadsheetml/2006/main" count="639" uniqueCount="555">
  <si>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</si>
  <si>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</si>
  <si>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</si>
  <si>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</si>
  <si>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</si>
  <si>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</si>
  <si>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</si>
  <si>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</si>
  <si>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</si>
  <si>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</si>
  <si>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</si>
  <si>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</si>
  <si>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</si>
  <si>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</si>
  <si>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</si>
  <si>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</si>
  <si>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</si>
  <si>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</si>
  <si>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</si>
  <si>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</si>
  <si>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</si>
  <si>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</si>
  <si>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</si>
  <si>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</si>
  <si>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</si>
  <si>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</si>
  <si>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</si>
  <si>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</si>
  <si>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</si>
  <si>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</si>
  <si>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</si>
  <si>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</si>
  <si>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</si>
  <si>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</si>
  <si>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</si>
  <si>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</si>
  <si>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</si>
  <si>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</si>
  <si>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</si>
  <si>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</si>
  <si>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</si>
  <si>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</si>
  <si>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</si>
  <si>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</si>
  <si>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</si>
  <si>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</si>
  <si>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</si>
  <si>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</si>
  <si>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</si>
  <si>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</si>
  <si>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</si>
  <si>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</si>
  <si>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</si>
  <si>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</si>
  <si>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</si>
  <si>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</si>
  <si>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</si>
  <si>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</si>
  <si>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</si>
  <si>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</si>
  <si>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</si>
  <si>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</si>
  <si>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</si>
  <si>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</si>
  <si>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</si>
  <si>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</si>
  <si>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</si>
  <si>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</si>
  <si>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</si>
  <si>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</si>
  <si>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</si>
  <si>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</si>
  <si>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</si>
  <si>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</si>
  <si>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</si>
  <si>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</si>
  <si>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</si>
  <si>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</si>
  <si>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</si>
  <si>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</si>
  <si>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</si>
  <si>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</si>
  <si>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</si>
  <si>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</si>
  <si>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</si>
  <si>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</si>
  <si>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</si>
  <si>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</si>
  <si>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</si>
  <si>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</si>
  <si>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</si>
  <si>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</si>
  <si>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</si>
  <si>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</si>
  <si>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</si>
  <si>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</si>
  <si>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</si>
  <si>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</si>
  <si>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</si>
  <si>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</si>
  <si>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</si>
  <si>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</si>
  <si>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</si>
  <si>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</si>
  <si>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</si>
  <si>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</si>
  <si>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</si>
  <si>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</si>
  <si>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</si>
  <si>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</si>
  <si>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</si>
  <si>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</si>
  <si>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</si>
  <si>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</si>
  <si>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</si>
  <si>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</si>
  <si>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</si>
  <si>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</si>
  <si>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</si>
  <si>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</si>
  <si>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</si>
  <si>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</si>
  <si>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</si>
  <si>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</si>
  <si>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</si>
  <si>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</si>
  <si>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</si>
  <si>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</si>
  <si>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</si>
  <si>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</si>
  <si>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</si>
  <si>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</si>
  <si>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</si>
  <si>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</si>
  <si>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</si>
  <si>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</si>
  <si>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</si>
  <si>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</si>
  <si>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</si>
  <si>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</si>
  <si>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</si>
  <si>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</si>
  <si>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</si>
  <si>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</si>
  <si>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</si>
  <si>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</si>
  <si>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</si>
  <si>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</si>
  <si>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</si>
  <si>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</si>
  <si>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</si>
  <si>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</si>
  <si>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</si>
  <si>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</si>
  <si>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</si>
  <si>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</si>
  <si>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</si>
  <si>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</si>
  <si>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</si>
  <si>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</si>
  <si>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</si>
  <si>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</si>
  <si>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</si>
  <si>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</si>
  <si>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</si>
  <si>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</si>
  <si>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</si>
  <si>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</si>
  <si>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</si>
  <si>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</si>
  <si>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</si>
  <si>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</si>
  <si>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</si>
  <si>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</si>
  <si>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</si>
  <si>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</si>
  <si>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</si>
  <si>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</si>
  <si>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</si>
  <si>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</si>
  <si>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</si>
  <si>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</si>
  <si>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</si>
  <si>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</si>
  <si>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</si>
  <si>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</si>
  <si>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</si>
  <si>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</si>
  <si>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</si>
  <si>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</si>
  <si>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</si>
  <si>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</si>
  <si>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</si>
  <si>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</si>
  <si>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</si>
  <si>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</si>
  <si>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</si>
  <si>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</si>
  <si>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</si>
  <si>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</si>
  <si>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</si>
  <si>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</si>
  <si>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</si>
  <si>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</si>
  <si>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</si>
  <si>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</si>
  <si>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</si>
  <si>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</si>
  <si>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</si>
  <si>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</si>
  <si>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</si>
  <si>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</si>
  <si>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</si>
  <si>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</si>
  <si>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</si>
  <si>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</si>
  <si>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</si>
  <si>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</si>
  <si>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</si>
  <si>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</si>
  <si>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</si>
  <si>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</si>
  <si>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</si>
  <si>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</si>
  <si>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</si>
  <si>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</si>
  <si>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</si>
  <si>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</si>
  <si>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</si>
  <si>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</si>
  <si>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</si>
  <si>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</si>
  <si>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</si>
  <si>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</si>
  <si>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</si>
  <si>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</si>
  <si>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</si>
  <si>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</si>
  <si>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</si>
  <si>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</si>
  <si>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</si>
  <si>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</si>
  <si>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</si>
  <si>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</si>
  <si>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</si>
  <si>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</si>
  <si>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</si>
  <si>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</si>
  <si>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</si>
  <si>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</si>
  <si>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</si>
  <si>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</si>
  <si>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</si>
  <si>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</si>
  <si>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</si>
  <si>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</si>
  <si>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</si>
  <si>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</si>
  <si>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</si>
  <si>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</si>
  <si>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</si>
  <si>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</si>
  <si>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</si>
  <si>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</si>
  <si>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</si>
  <si>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</si>
  <si>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</si>
  <si>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</si>
  <si>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</si>
  <si>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</si>
  <si>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</si>
  <si>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</si>
  <si>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</si>
  <si>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</si>
  <si>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</si>
  <si>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</si>
  <si>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</si>
  <si>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</si>
  <si>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</si>
  <si>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</si>
  <si>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</si>
  <si>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</si>
  <si>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</si>
  <si>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</si>
  <si>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</si>
  <si>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</si>
  <si>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</si>
  <si>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</si>
  <si>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</si>
  <si>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</si>
  <si>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</si>
  <si>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</si>
  <si>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</si>
  <si>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</si>
  <si>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</si>
  <si>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</si>
  <si>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</si>
  <si>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</si>
  <si>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</si>
  <si>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</si>
  <si>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</si>
  <si>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</si>
  <si>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</si>
  <si>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</si>
  <si>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</si>
  <si>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</si>
  <si>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</si>
  <si>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</si>
  <si>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</si>
  <si>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</si>
  <si>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</si>
  <si>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</si>
  <si>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</si>
  <si>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</si>
  <si>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</si>
  <si>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</si>
  <si>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</si>
  <si>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</si>
  <si>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</si>
  <si>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</si>
  <si>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</si>
  <si>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</si>
  <si>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</si>
  <si>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</si>
  <si>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</si>
  <si>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</si>
  <si>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</si>
  <si>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</si>
  <si>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</si>
  <si>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</si>
  <si>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</si>
  <si>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</si>
  <si>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</si>
  <si>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</si>
  <si>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</si>
  <si>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</si>
  <si>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</si>
  <si>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</si>
  <si>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</si>
  <si>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</si>
  <si>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</si>
  <si>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</si>
  <si>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</si>
  <si>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</si>
  <si>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</si>
  <si>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</si>
  <si>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</si>
  <si>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</si>
  <si>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</si>
  <si>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</si>
  <si>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</si>
  <si>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</si>
  <si>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</si>
  <si>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</si>
  <si>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</si>
  <si>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</si>
  <si>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</si>
  <si>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</si>
  <si>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</si>
  <si>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</si>
  <si>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</si>
  <si>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</si>
  <si>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</si>
  <si>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</si>
  <si>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</si>
  <si>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</si>
  <si>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</si>
  <si>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</si>
  <si>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</si>
  <si>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</si>
  <si>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</si>
  <si>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</si>
  <si>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</si>
  <si>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</si>
  <si>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</si>
  <si>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</si>
  <si>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</si>
  <si>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</si>
  <si>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</si>
  <si>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</si>
  <si>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</si>
  <si>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</si>
  <si>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</si>
  <si>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</si>
  <si>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</si>
  <si>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</si>
  <si>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</si>
  <si>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</si>
  <si>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</si>
  <si>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</si>
  <si>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</si>
  <si>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</si>
  <si>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</si>
  <si>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</si>
  <si>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</si>
  <si>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</si>
  <si>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</si>
  <si>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</si>
  <si>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</si>
  <si>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</si>
  <si>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</si>
  <si>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</si>
  <si>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</si>
  <si>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</si>
  <si>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</si>
  <si>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</si>
  <si>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</si>
  <si>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</si>
  <si>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</si>
  <si>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</si>
  <si>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</si>
  <si>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</si>
  <si>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</si>
  <si>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</si>
  <si>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</si>
  <si>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</si>
  <si>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</si>
  <si>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</si>
  <si>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</si>
  <si>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</si>
  <si>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</si>
  <si>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</si>
  <si>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</si>
  <si>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</si>
  <si>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</si>
  <si>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</si>
  <si>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</si>
  <si>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</si>
  <si>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</si>
  <si>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</si>
  <si>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</si>
  <si>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</si>
  <si>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</si>
  <si>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</si>
  <si>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</si>
  <si>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</si>
  <si>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</si>
  <si>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</si>
  <si>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</si>
  <si>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</si>
  <si>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</si>
  <si>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</si>
  <si>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</si>
  <si>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</si>
  <si>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</si>
  <si>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</si>
  <si>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</si>
  <si>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</si>
  <si>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</si>
  <si>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</si>
  <si>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</si>
  <si>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</si>
  <si>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</si>
  <si>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</si>
  <si>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</si>
  <si>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</si>
  <si>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</si>
  <si>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</si>
  <si>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</si>
  <si>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</si>
  <si>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</si>
  <si>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</si>
  <si>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</si>
  <si>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</si>
  <si>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</si>
  <si>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</si>
  <si>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</si>
  <si>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</si>
  <si>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</si>
  <si>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</si>
  <si>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</si>
  <si>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</si>
  <si>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</si>
  <si>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</si>
  <si>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</si>
  <si>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</si>
  <si>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</si>
  <si>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</si>
  <si>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</si>
  <si>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</si>
  <si>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</si>
  <si>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</si>
  <si>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</si>
  <si>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</si>
  <si>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</si>
  <si>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</si>
  <si>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</si>
  <si>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</si>
  <si>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</si>
  <si>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</si>
  <si>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</si>
  <si>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</si>
  <si>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</si>
  <si>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</si>
  <si>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</si>
  <si>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</si>
  <si>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</si>
  <si>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</si>
  <si>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</si>
  <si>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</si>
  <si>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</si>
  <si>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</si>
  <si>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</si>
  <si>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</si>
  <si>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</si>
  <si>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</si>
  <si>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</si>
  <si>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</si>
  <si>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</si>
  <si>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</si>
  <si>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</si>
  <si>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</si>
  <si>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</si>
  <si>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</si>
  <si>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</si>
  <si>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</si>
  <si>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</si>
  <si>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</si>
  <si>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</si>
  <si>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</si>
  <si>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</si>
  <si>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</si>
  <si>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</si>
  <si>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</si>
  <si>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</si>
  <si>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</si>
  <si>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</si>
  <si>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</si>
  <si>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</si>
  <si>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</si>
  <si>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</si>
  <si>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</si>
  <si>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</si>
  <si>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</si>
  <si>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</si>
  <si>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</si>
  <si>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</si>
  <si>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</si>
  <si>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</si>
  <si>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</si>
  <si>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</si>
  <si>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</si>
  <si>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</si>
  <si>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</si>
  <si>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</si>
  <si>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</si>
  <si>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</si>
  <si>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</si>
  <si>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</si>
  <si>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    (2024 m. lapkričio 28 d. sprendimo Nr. T2-</t>
  </si>
  <si>
    <t xml:space="preserve">                                        (2024 m. lapkričio 28 d. sprendimo Nr. T2-</t>
  </si>
  <si>
    <t>(2024 m. lapkričio 28 d. sprendimo Nr. T2-    redakcija)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</si>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</sst>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6" fillId="0" borderId="2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opLeftCell="A46" workbookViewId="0">
      <selection activeCell="E21" sqref="E1:G1048576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06" t="s">
        <v>208</v>
      </c>
      <c r="C1" s="106"/>
    </row>
    <row r="2" spans="1:3" ht="15.6" x14ac:dyDescent="0.3">
      <c r="B2" s="106" t="s">
        <v>488</v>
      </c>
      <c r="C2" s="106"/>
    </row>
    <row r="3" spans="1:3" ht="15.6" x14ac:dyDescent="0.3">
      <c r="B3" s="16" t="s">
        <v>549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07" t="s">
        <v>499</v>
      </c>
      <c r="B7" s="107"/>
      <c r="C7" s="107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97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548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2229083</v>
      </c>
    </row>
    <row r="21" spans="1:3" ht="17.25" customHeight="1" x14ac:dyDescent="0.25">
      <c r="A21" s="21" t="s">
        <v>42</v>
      </c>
      <c r="B21" s="22" t="s">
        <v>225</v>
      </c>
      <c r="C21" s="23">
        <v>794976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98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98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98">
        <f>911824+20460-90580-37588</f>
        <v>804116</v>
      </c>
    </row>
    <row r="30" spans="1:3" ht="17.25" customHeight="1" x14ac:dyDescent="0.25">
      <c r="A30" s="21" t="s">
        <v>546</v>
      </c>
      <c r="B30" s="84" t="s">
        <v>547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21248839</v>
      </c>
    </row>
    <row r="32" spans="1:3" ht="17.25" customHeight="1" x14ac:dyDescent="0.25">
      <c r="A32" s="21" t="s">
        <v>67</v>
      </c>
      <c r="B32" s="22" t="s">
        <v>232</v>
      </c>
      <c r="C32" s="23">
        <f>4213604-9600+143000+1700-39000-19200</f>
        <v>4290504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98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98">
        <f>156564+1025738+267039+220153+583600+9814+13052+754727</f>
        <v>3030687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23">
        <f>155351+53170-40001-20400-2775-3901-5000</f>
        <v>136444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98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544</v>
      </c>
      <c r="B50" s="22" t="s">
        <v>545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55003980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0"/>
  <sheetViews>
    <sheetView topLeftCell="A6" workbookViewId="0">
      <selection activeCell="D6" sqref="D6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16384" width="9.109375" style="8"/>
  </cols>
  <sheetData>
    <row r="1" spans="1:3" ht="15.6" x14ac:dyDescent="0.3">
      <c r="B1" s="106" t="s">
        <v>208</v>
      </c>
      <c r="C1" s="106"/>
    </row>
    <row r="2" spans="1:3" ht="15.6" x14ac:dyDescent="0.3">
      <c r="B2" s="106" t="s">
        <v>488</v>
      </c>
      <c r="C2" s="106"/>
    </row>
    <row r="3" spans="1:3" ht="15.6" x14ac:dyDescent="0.3">
      <c r="B3" s="106" t="s">
        <v>550</v>
      </c>
      <c r="C3" s="106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08" t="s">
        <v>489</v>
      </c>
      <c r="B8" s="108"/>
      <c r="C8" s="108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55003980</v>
      </c>
    </row>
    <row r="12" spans="1:3" ht="16.5" customHeight="1" x14ac:dyDescent="0.25">
      <c r="A12" s="21" t="s">
        <v>210</v>
      </c>
      <c r="B12" s="69" t="s">
        <v>246</v>
      </c>
      <c r="C12" s="98">
        <f>7134949+30000+270000+621-785-270000+31999+3000+200+2045-31000+3680+16000+2800+1000+1400+10000+77141+33227-100+300-7900+37600</f>
        <v>7346177</v>
      </c>
    </row>
    <row r="13" spans="1:3" ht="16.5" customHeight="1" x14ac:dyDescent="0.25">
      <c r="A13" s="21" t="s">
        <v>212</v>
      </c>
      <c r="B13" s="69" t="s">
        <v>247</v>
      </c>
      <c r="C13" s="98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98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98">
        <f>3155600+1816900+320000+135000+320600+754727</f>
        <v>6502827</v>
      </c>
    </row>
    <row r="16" spans="1:3" ht="16.5" customHeight="1" x14ac:dyDescent="0.25">
      <c r="A16" s="21" t="s">
        <v>217</v>
      </c>
      <c r="B16" s="69" t="s">
        <v>250</v>
      </c>
      <c r="C16" s="98">
        <f>2194414+10825+4775+163000+7900-4188-28000+13427+13052-20000</f>
        <v>2355205</v>
      </c>
    </row>
    <row r="17" spans="1:3" ht="16.5" customHeight="1" x14ac:dyDescent="0.25">
      <c r="A17" s="21" t="s">
        <v>218</v>
      </c>
      <c r="B17" s="69" t="s">
        <v>251</v>
      </c>
      <c r="C17" s="98">
        <f>4084532+13000+1000-2830+2000+3000+8000+1725+15600+3000+8000+8000+12000+2300</f>
        <v>4159327</v>
      </c>
    </row>
    <row r="18" spans="1:3" ht="16.5" customHeight="1" x14ac:dyDescent="0.25">
      <c r="A18" s="21" t="s">
        <v>220</v>
      </c>
      <c r="B18" s="69" t="s">
        <v>252</v>
      </c>
      <c r="C18" s="98">
        <f>20545804+10559+40334+8640+20460+6749-7900+270000+418024+60310+220153+11000+80661-76400+170900+196000+4890+20000+310-60208-6800</f>
        <v>21933486</v>
      </c>
    </row>
    <row r="19" spans="1:3" ht="16.5" customHeight="1" x14ac:dyDescent="0.25">
      <c r="A19" s="21" t="s">
        <v>222</v>
      </c>
      <c r="B19" s="69" t="s">
        <v>269</v>
      </c>
      <c r="C19" s="98">
        <f>10107124+100000+445+53170+719+545+4444+6750+50000+27583-39216+2042+12690+240784+140000+13200+6300-2045-3770-90580+1700+24000-39000-19100+9814+3132+12253+2664+12800+14500-4500-8300+11000</f>
        <v>10651148</v>
      </c>
    </row>
    <row r="20" spans="1:3" s="4" customFormat="1" ht="16.5" customHeight="1" x14ac:dyDescent="0.25">
      <c r="A20" s="18" t="s">
        <v>48</v>
      </c>
      <c r="B20" s="94" t="s">
        <v>490</v>
      </c>
      <c r="C20" s="20">
        <f>SUM(C21:C28)</f>
        <v>55003980</v>
      </c>
    </row>
    <row r="21" spans="1:3" ht="16.5" customHeight="1" x14ac:dyDescent="0.25">
      <c r="A21" s="21" t="s">
        <v>42</v>
      </c>
      <c r="B21" s="22" t="s">
        <v>491</v>
      </c>
      <c r="C21" s="23">
        <f>29236038+50000+650000-31000+211000+12000+33227-27</f>
        <v>30161238</v>
      </c>
    </row>
    <row r="22" spans="1:3" ht="31.2" x14ac:dyDescent="0.25">
      <c r="A22" s="21" t="s">
        <v>43</v>
      </c>
      <c r="B22" s="22" t="s">
        <v>492</v>
      </c>
      <c r="C22" s="23">
        <f>4213604-9600+143000+1700-39000-19200</f>
        <v>4290504</v>
      </c>
    </row>
    <row r="23" spans="1:3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3" ht="16.5" customHeight="1" x14ac:dyDescent="0.25">
      <c r="A24" s="21" t="s">
        <v>45</v>
      </c>
      <c r="B24" s="22" t="s">
        <v>494</v>
      </c>
      <c r="C24" s="98">
        <f>156564+1025738+267039+220153+583600+9814+13052+754727</f>
        <v>3030687</v>
      </c>
    </row>
    <row r="25" spans="1:3" ht="16.5" customHeight="1" x14ac:dyDescent="0.25">
      <c r="A25" s="21" t="s">
        <v>46</v>
      </c>
      <c r="B25" s="22" t="s">
        <v>495</v>
      </c>
      <c r="C25" s="98">
        <f>808457+53170+719+545+4444+6750+8640+10825+4775+27583+6749-40001+2042+12690+163000+96950+13400+6300-28000+11000+80661+3132+12253+2664+13100</f>
        <v>1281848</v>
      </c>
    </row>
    <row r="26" spans="1:3" ht="32.25" customHeight="1" x14ac:dyDescent="0.25">
      <c r="A26" s="21" t="s">
        <v>47</v>
      </c>
      <c r="B26" s="22" t="s">
        <v>496</v>
      </c>
      <c r="C26" s="98">
        <f>2701170+20460+13000+1000+621+2000+60310-3770-90580+3000+8000-51308</f>
        <v>2663903</v>
      </c>
    </row>
    <row r="27" spans="1:3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3" ht="15.6" x14ac:dyDescent="0.25">
      <c r="A28" s="21" t="s">
        <v>63</v>
      </c>
      <c r="B28" s="22" t="s">
        <v>498</v>
      </c>
      <c r="C28" s="23">
        <f>1816900</f>
        <v>1816900</v>
      </c>
    </row>
    <row r="29" spans="1:3" ht="45.75" customHeight="1" x14ac:dyDescent="0.3">
      <c r="B29" s="16" t="s">
        <v>387</v>
      </c>
      <c r="C29" s="88"/>
    </row>
    <row r="30" spans="1:3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8"/>
  <sheetViews>
    <sheetView tabSelected="1" workbookViewId="0">
      <pane ySplit="10" topLeftCell="A185" activePane="bottomLeft" state="frozen"/>
      <selection pane="bottomLeft" activeCell="A259" sqref="A259:XFD266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551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07" t="s">
        <v>440</v>
      </c>
      <c r="C7" s="107"/>
      <c r="D7" s="107"/>
      <c r="E7" s="107"/>
      <c r="F7" s="107"/>
      <c r="G7" s="107"/>
      <c r="H7" s="107"/>
      <c r="I7" s="107"/>
      <c r="J7" s="107"/>
      <c r="K7" s="107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19" t="s">
        <v>20</v>
      </c>
      <c r="D9" s="119"/>
      <c r="E9" s="119"/>
      <c r="F9" s="119" t="s">
        <v>262</v>
      </c>
      <c r="G9" s="119"/>
      <c r="H9" s="119"/>
      <c r="I9" s="119" t="s">
        <v>306</v>
      </c>
      <c r="J9" s="119"/>
      <c r="K9" s="119"/>
      <c r="L9" s="119" t="s">
        <v>263</v>
      </c>
      <c r="M9" s="119"/>
      <c r="N9" s="119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09" t="s">
        <v>199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550208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6232513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550208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5597813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27">
        <f>520454-2000-600-4600+3000-100</f>
        <v>516154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516154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103">
        <f>35925+2045-785-400-81-150-5000+2000+200+300</f>
        <v>34054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34054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103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103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9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09" t="s">
        <v>200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9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09" t="s">
        <v>201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9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16" t="s">
        <v>264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2652000</v>
      </c>
      <c r="D56" s="38">
        <f t="shared" si="12"/>
        <v>28345</v>
      </c>
      <c r="E56" s="38">
        <f t="shared" si="12"/>
        <v>0</v>
      </c>
      <c r="F56" s="38">
        <f t="shared" si="12"/>
        <v>1578927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6047827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2579000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5150627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541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1030600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1030600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29">
        <v>22300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22300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/>
      <c r="B86" s="102" t="s">
        <v>553</v>
      </c>
      <c r="C86" s="29"/>
      <c r="D86" s="29"/>
      <c r="E86" s="29"/>
      <c r="F86" s="9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v>824200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897200</v>
      </c>
      <c r="P87" s="17"/>
      <c r="Q87" s="17"/>
    </row>
    <row r="88" spans="1:21" s="1" customFormat="1" ht="31.5" customHeight="1" x14ac:dyDescent="0.3">
      <c r="A88" s="46"/>
      <c r="B88" s="112" t="s">
        <v>540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1528164</v>
      </c>
      <c r="M89" s="38">
        <f t="shared" si="17"/>
        <v>0</v>
      </c>
      <c r="N89" s="38">
        <f t="shared" si="17"/>
        <v>0</v>
      </c>
      <c r="O89" s="38">
        <f>C89+F89+I89+L89</f>
        <v>2355205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100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105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1220000</v>
      </c>
      <c r="M97" s="27">
        <f t="shared" si="20"/>
        <v>0</v>
      </c>
      <c r="N97" s="27">
        <f t="shared" si="20"/>
        <v>0</v>
      </c>
      <c r="O97" s="27">
        <f>C97+F97+I97+L97</f>
        <v>1733791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100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</f>
        <v>1220000</v>
      </c>
      <c r="M105" s="37"/>
      <c r="N105" s="37"/>
      <c r="O105" s="27">
        <f>C105+F105+I105+L105</f>
        <v>1220000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552</v>
      </c>
      <c r="B107" s="101" t="s">
        <v>554</v>
      </c>
      <c r="C107" s="37"/>
      <c r="D107" s="37"/>
      <c r="E107" s="37"/>
      <c r="F107" s="100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12" t="s">
        <v>266</v>
      </c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3985591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4159327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103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27">
        <f>278100+10649+15600</f>
        <v>304349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103">
        <f>15070+8000+3500</f>
        <v>26570</v>
      </c>
      <c r="M117" s="27"/>
      <c r="N117" s="27"/>
      <c r="O117" s="27">
        <f t="shared" ref="O117:O143" si="24">C117+F117+I117+L117</f>
        <v>330919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103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269825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287971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37">
        <v>30000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48146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13" t="s">
        <v>203</v>
      </c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5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SUM(C147:C148,C151,C154:C156,C159:C159,C162,C165,C168,C171:C171,C174,C177,C180:C182,C183,C196)</f>
        <v>9345180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SUM(F147:F148,F151,F154:F156,F159:F159,F162,F165,F168,F171:F171,F174,F177,F180:F182,F183,F196)</f>
        <v>943054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SUM(K147:K148,K151,K154:K156,K159:K159,K162,K165,K168,K171:K171,K174,K177,K180:K182,K183,K196)</f>
        <v>0</v>
      </c>
      <c r="L146" s="38">
        <f>SUM(L147:L148,L151,L154:L156,L159:L159,L162,L165,L168,L171:L171,L174,L177,L180:L182,L183,L196)</f>
        <v>546352</v>
      </c>
      <c r="M146" s="38">
        <f>SUM(M147:M148,M151,M154:M156,M159:M159,M162,M165,M168,M171:M171,M174,M177,M180:M182,M183,M196)</f>
        <v>24670</v>
      </c>
      <c r="N146" s="38">
        <f>SUM(N147:N148,N151,N154:N156,N159:N159,N162,N165,N168,N171:N171,N174,N177,N180:N182,N183,N196)</f>
        <v>0</v>
      </c>
      <c r="O146" s="27">
        <f>C146+F146+I146+L146</f>
        <v>21663486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38">
        <f>470000+1368+58438</f>
        <v>529806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104">
        <f>4030+150+22490-12140</f>
        <v>14530</v>
      </c>
      <c r="M147" s="38"/>
      <c r="N147" s="38"/>
      <c r="O147" s="27">
        <f t="shared" ref="O147:O201" si="29">C147+F147+I147+L147</f>
        <v>2084979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38">
        <f>L149+L150+1200</f>
        <v>20520</v>
      </c>
      <c r="M148" s="38">
        <f>M149+M150</f>
        <v>0</v>
      </c>
      <c r="N148" s="38">
        <f>N149+N150</f>
        <v>0</v>
      </c>
      <c r="O148" s="27">
        <f>C148+F148+I148+L148</f>
        <v>1483159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529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104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104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528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530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531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532</v>
      </c>
      <c r="C162" s="38">
        <f>C163+C164</f>
        <v>476651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104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1342651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533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534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104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535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536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104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537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104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104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SUM(C184:C195)</f>
        <v>702200</v>
      </c>
      <c r="D183" s="38">
        <f t="shared" ref="D183:N183" si="40">SUM(D184:D194)</f>
        <v>0</v>
      </c>
      <c r="E183" s="38">
        <f t="shared" si="40"/>
        <v>0</v>
      </c>
      <c r="F183" s="38">
        <f>SUM(F184:H195)</f>
        <v>657834</v>
      </c>
      <c r="G183" s="38">
        <f>SUM(G184:I195)</f>
        <v>0</v>
      </c>
      <c r="H183" s="38">
        <f>SUM(H184:J195)</f>
        <v>195370</v>
      </c>
      <c r="I183" s="38">
        <f>SUM(I184:I195)</f>
        <v>0</v>
      </c>
      <c r="J183" s="38">
        <f t="shared" si="40"/>
        <v>195370</v>
      </c>
      <c r="K183" s="38">
        <f t="shared" si="40"/>
        <v>0</v>
      </c>
      <c r="L183" s="38">
        <f t="shared" si="40"/>
        <v>0</v>
      </c>
      <c r="M183" s="38">
        <f t="shared" si="40"/>
        <v>0</v>
      </c>
      <c r="N183" s="38">
        <f t="shared" si="40"/>
        <v>0</v>
      </c>
      <c r="O183" s="27">
        <f>C183+F183+I183+L183</f>
        <v>1360034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37">
        <f>380000+166000</f>
        <v>546000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546000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5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100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 t="shared" si="41"/>
        <v>0</v>
      </c>
      <c r="P195" s="59"/>
      <c r="Q195" s="59"/>
    </row>
    <row r="196" spans="1:17" s="9" customFormat="1" ht="15.75" customHeight="1" x14ac:dyDescent="0.25">
      <c r="A196" s="27" t="s">
        <v>145</v>
      </c>
      <c r="B196" s="42" t="s">
        <v>23</v>
      </c>
      <c r="C196" s="27">
        <f>C197+C198+C199+C200+C201+C202</f>
        <v>280000</v>
      </c>
      <c r="D196" s="27">
        <f t="shared" ref="D196:O196" si="42">D197+D198+D199+D200+D201+D202</f>
        <v>0</v>
      </c>
      <c r="E196" s="27">
        <f t="shared" si="42"/>
        <v>0</v>
      </c>
      <c r="F196" s="27">
        <f t="shared" si="42"/>
        <v>0</v>
      </c>
      <c r="G196" s="27">
        <f t="shared" si="42"/>
        <v>0</v>
      </c>
      <c r="H196" s="27">
        <f t="shared" si="42"/>
        <v>0</v>
      </c>
      <c r="I196" s="27">
        <f t="shared" si="42"/>
        <v>0</v>
      </c>
      <c r="J196" s="27">
        <f t="shared" si="42"/>
        <v>0</v>
      </c>
      <c r="K196" s="27">
        <f t="shared" si="42"/>
        <v>0</v>
      </c>
      <c r="L196" s="27">
        <f t="shared" si="42"/>
        <v>0</v>
      </c>
      <c r="M196" s="27">
        <f t="shared" si="42"/>
        <v>0</v>
      </c>
      <c r="N196" s="27">
        <f t="shared" si="42"/>
        <v>0</v>
      </c>
      <c r="O196" s="27">
        <f t="shared" si="42"/>
        <v>280000</v>
      </c>
      <c r="P196" s="58"/>
      <c r="Q196" s="58"/>
    </row>
    <row r="197" spans="1:17" s="10" customFormat="1" ht="29.25" customHeight="1" x14ac:dyDescent="0.3">
      <c r="A197" s="49" t="s">
        <v>294</v>
      </c>
      <c r="B197" s="33" t="s">
        <v>462</v>
      </c>
      <c r="C197" s="37">
        <v>220000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220000</v>
      </c>
      <c r="P197" s="59"/>
      <c r="Q197" s="59"/>
    </row>
    <row r="198" spans="1:17" s="10" customFormat="1" ht="16.5" customHeight="1" x14ac:dyDescent="0.3">
      <c r="A198" s="49" t="s">
        <v>295</v>
      </c>
      <c r="B198" s="33" t="s">
        <v>463</v>
      </c>
      <c r="C198" s="37">
        <v>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20000</v>
      </c>
      <c r="P198" s="59"/>
      <c r="Q198" s="59"/>
    </row>
    <row r="199" spans="1:17" s="10" customFormat="1" ht="15.75" customHeight="1" x14ac:dyDescent="0.3">
      <c r="A199" s="49" t="s">
        <v>296</v>
      </c>
      <c r="B199" s="33" t="s">
        <v>464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465</v>
      </c>
      <c r="B200" s="33" t="s">
        <v>466</v>
      </c>
      <c r="C200" s="37">
        <v>10000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10000</v>
      </c>
      <c r="P200" s="59"/>
      <c r="Q200" s="59"/>
    </row>
    <row r="201" spans="1:17" s="10" customFormat="1" ht="15.75" customHeight="1" x14ac:dyDescent="0.3">
      <c r="A201" s="49" t="s">
        <v>467</v>
      </c>
      <c r="B201" s="33" t="s">
        <v>468</v>
      </c>
      <c r="C201" s="37">
        <v>10000</v>
      </c>
      <c r="D201" s="37"/>
      <c r="E201" s="37"/>
      <c r="F201" s="38"/>
      <c r="G201" s="37"/>
      <c r="H201" s="37"/>
      <c r="I201" s="38"/>
      <c r="J201" s="38"/>
      <c r="K201" s="37"/>
      <c r="L201" s="38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469</v>
      </c>
      <c r="B202" s="33" t="s">
        <v>470</v>
      </c>
      <c r="C202" s="37">
        <f>400000-132713-267287</f>
        <v>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>C202+F202+I202+L202</f>
        <v>0</v>
      </c>
      <c r="P202" s="59"/>
      <c r="Q202" s="59"/>
    </row>
    <row r="203" spans="1:17" s="1" customFormat="1" ht="32.25" customHeight="1" x14ac:dyDescent="0.3">
      <c r="A203" s="46"/>
      <c r="B203" s="112" t="s">
        <v>202</v>
      </c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7"/>
      <c r="Q203" s="17"/>
    </row>
    <row r="204" spans="1:17" s="7" customFormat="1" ht="15.75" customHeight="1" x14ac:dyDescent="0.25">
      <c r="A204" s="29"/>
      <c r="B204" s="42" t="s">
        <v>27</v>
      </c>
      <c r="C204" s="38">
        <f t="shared" ref="C204:N204" si="43">C205+C249+C248</f>
        <v>7155750</v>
      </c>
      <c r="D204" s="38">
        <f t="shared" si="43"/>
        <v>2119560</v>
      </c>
      <c r="E204" s="38">
        <f t="shared" si="43"/>
        <v>0</v>
      </c>
      <c r="F204" s="38">
        <f>F205+F249+F248</f>
        <v>3052074</v>
      </c>
      <c r="G204" s="38">
        <f t="shared" si="43"/>
        <v>534560</v>
      </c>
      <c r="H204" s="38">
        <f t="shared" si="43"/>
        <v>0</v>
      </c>
      <c r="I204" s="38">
        <f>I205+I249+I248</f>
        <v>0</v>
      </c>
      <c r="J204" s="38">
        <f t="shared" si="43"/>
        <v>0</v>
      </c>
      <c r="K204" s="38">
        <f t="shared" si="43"/>
        <v>0</v>
      </c>
      <c r="L204" s="38">
        <f t="shared" si="43"/>
        <v>343324</v>
      </c>
      <c r="M204" s="38">
        <f t="shared" si="43"/>
        <v>326293</v>
      </c>
      <c r="N204" s="38">
        <f t="shared" si="43"/>
        <v>0</v>
      </c>
      <c r="O204" s="38">
        <f>C204+F204+I204+L204</f>
        <v>10551148</v>
      </c>
      <c r="P204" s="58"/>
      <c r="Q204" s="58"/>
    </row>
    <row r="205" spans="1:17" s="2" customFormat="1" ht="15.75" customHeight="1" x14ac:dyDescent="0.3">
      <c r="A205" s="27" t="s">
        <v>146</v>
      </c>
      <c r="B205" s="42" t="s">
        <v>34</v>
      </c>
      <c r="C205" s="27">
        <f>SUM(C206:C247)</f>
        <v>6576763</v>
      </c>
      <c r="D205" s="27">
        <f t="shared" ref="D205:E205" si="44">SUM(D206:D246)</f>
        <v>1757060</v>
      </c>
      <c r="E205" s="27">
        <f t="shared" si="44"/>
        <v>0</v>
      </c>
      <c r="F205" s="27">
        <f>SUM(F206:F247)</f>
        <v>3016085</v>
      </c>
      <c r="G205" s="27">
        <f t="shared" ref="G205:L205" si="45">SUM(G206:G246)</f>
        <v>504000</v>
      </c>
      <c r="H205" s="27">
        <f t="shared" si="45"/>
        <v>0</v>
      </c>
      <c r="I205" s="27">
        <f t="shared" si="45"/>
        <v>0</v>
      </c>
      <c r="J205" s="27">
        <f t="shared" si="45"/>
        <v>0</v>
      </c>
      <c r="K205" s="27">
        <f t="shared" si="45"/>
        <v>0</v>
      </c>
      <c r="L205" s="27">
        <f t="shared" si="45"/>
        <v>0</v>
      </c>
      <c r="M205" s="27">
        <f>SUM(M206:M242)</f>
        <v>0</v>
      </c>
      <c r="N205" s="27">
        <f>SUM(N206:N242)</f>
        <v>0</v>
      </c>
      <c r="O205" s="27">
        <f>SUM(O206:O247)</f>
        <v>9592848</v>
      </c>
      <c r="P205" s="17"/>
      <c r="Q205" s="17"/>
    </row>
    <row r="206" spans="1:17" s="10" customFormat="1" ht="15.75" customHeight="1" x14ac:dyDescent="0.3">
      <c r="A206" s="49" t="s">
        <v>297</v>
      </c>
      <c r="B206" s="33" t="s">
        <v>14</v>
      </c>
      <c r="C206" s="37">
        <v>1660000</v>
      </c>
      <c r="D206" s="37"/>
      <c r="E206" s="37"/>
      <c r="F206" s="100">
        <f>11421+13593+12188</f>
        <v>37202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1697202</v>
      </c>
      <c r="P206" s="59"/>
      <c r="Q206" s="59"/>
    </row>
    <row r="207" spans="1:17" s="10" customFormat="1" ht="15.75" customHeight="1" x14ac:dyDescent="0.3">
      <c r="A207" s="49" t="s">
        <v>298</v>
      </c>
      <c r="B207" s="33" t="s">
        <v>321</v>
      </c>
      <c r="C207" s="37">
        <v>144000</v>
      </c>
      <c r="D207" s="37"/>
      <c r="E207" s="37"/>
      <c r="F207" s="37">
        <f>100</f>
        <v>100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144100</v>
      </c>
      <c r="P207" s="59"/>
      <c r="Q207" s="59"/>
    </row>
    <row r="208" spans="1:17" s="10" customFormat="1" ht="15.75" customHeight="1" x14ac:dyDescent="0.3">
      <c r="A208" s="49" t="s">
        <v>299</v>
      </c>
      <c r="B208" s="33" t="s">
        <v>32</v>
      </c>
      <c r="C208" s="37">
        <v>1030000</v>
      </c>
      <c r="D208" s="37"/>
      <c r="E208" s="37"/>
      <c r="F208" s="100">
        <f>1269+257+141+65</f>
        <v>1732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1031732</v>
      </c>
      <c r="P208" s="59"/>
      <c r="Q208" s="59"/>
    </row>
    <row r="209" spans="1:17" s="10" customFormat="1" ht="15.75" customHeight="1" x14ac:dyDescent="0.3">
      <c r="A209" s="49" t="s">
        <v>300</v>
      </c>
      <c r="B209" s="33" t="s">
        <v>164</v>
      </c>
      <c r="C209" s="37"/>
      <c r="D209" s="37"/>
      <c r="E209" s="37"/>
      <c r="F209" s="37">
        <f>214700-4400-19100</f>
        <v>191200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ref="O209:O248" si="46">C209+F209+I209+L209</f>
        <v>191200</v>
      </c>
      <c r="P209" s="59"/>
      <c r="Q209" s="59"/>
    </row>
    <row r="210" spans="1:17" s="10" customFormat="1" ht="15.75" customHeight="1" x14ac:dyDescent="0.3">
      <c r="A210" s="49" t="s">
        <v>301</v>
      </c>
      <c r="B210" s="45" t="s">
        <v>268</v>
      </c>
      <c r="C210" s="37">
        <v>8000</v>
      </c>
      <c r="D210" s="45"/>
      <c r="E210" s="37"/>
      <c r="F210" s="37">
        <v>157500</v>
      </c>
      <c r="G210" s="37"/>
      <c r="H210" s="37"/>
      <c r="I210" s="45"/>
      <c r="J210" s="45"/>
      <c r="K210" s="45"/>
      <c r="L210" s="45"/>
      <c r="M210" s="45"/>
      <c r="N210" s="45"/>
      <c r="O210" s="27">
        <f>C210+F210+I210+L210</f>
        <v>165500</v>
      </c>
      <c r="P210" s="59"/>
      <c r="Q210" s="59"/>
    </row>
    <row r="211" spans="1:17" s="10" customFormat="1" ht="15.75" customHeight="1" x14ac:dyDescent="0.3">
      <c r="A211" s="49" t="s">
        <v>302</v>
      </c>
      <c r="B211" s="33" t="s">
        <v>162</v>
      </c>
      <c r="C211" s="37"/>
      <c r="D211" s="37"/>
      <c r="E211" s="37"/>
      <c r="F211" s="37">
        <v>98000</v>
      </c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98000</v>
      </c>
      <c r="P211" s="59"/>
      <c r="Q211" s="59"/>
    </row>
    <row r="212" spans="1:17" s="10" customFormat="1" ht="15.75" customHeight="1" x14ac:dyDescent="0.3">
      <c r="A212" s="49" t="s">
        <v>303</v>
      </c>
      <c r="B212" s="33" t="s">
        <v>33</v>
      </c>
      <c r="C212" s="37"/>
      <c r="D212" s="37"/>
      <c r="E212" s="37"/>
      <c r="F212" s="100">
        <f>382800+2042+2138+2664</f>
        <v>389644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389644</v>
      </c>
      <c r="P212" s="59"/>
      <c r="Q212" s="59"/>
    </row>
    <row r="213" spans="1:17" s="10" customFormat="1" ht="15.75" customHeight="1" x14ac:dyDescent="0.3">
      <c r="A213" s="49" t="s">
        <v>322</v>
      </c>
      <c r="B213" s="33" t="s">
        <v>163</v>
      </c>
      <c r="C213" s="37">
        <f>46000-2570</f>
        <v>43430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43430</v>
      </c>
      <c r="P213" s="59"/>
      <c r="Q213" s="59"/>
    </row>
    <row r="214" spans="1:17" s="10" customFormat="1" ht="15.75" customHeight="1" x14ac:dyDescent="0.3">
      <c r="A214" s="49" t="s">
        <v>323</v>
      </c>
      <c r="B214" s="33" t="s">
        <v>182</v>
      </c>
      <c r="C214" s="37"/>
      <c r="D214" s="37"/>
      <c r="E214" s="37"/>
      <c r="F214" s="37">
        <f>946200+140000</f>
        <v>1086200</v>
      </c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1086200</v>
      </c>
      <c r="P214" s="59"/>
      <c r="Q214" s="59"/>
    </row>
    <row r="215" spans="1:17" s="8" customFormat="1" ht="45" customHeight="1" x14ac:dyDescent="0.25">
      <c r="A215" s="49" t="s">
        <v>324</v>
      </c>
      <c r="B215" s="65" t="s">
        <v>426</v>
      </c>
      <c r="C215" s="29"/>
      <c r="D215" s="29"/>
      <c r="E215" s="29"/>
      <c r="F215" s="29">
        <v>418000</v>
      </c>
      <c r="G215" s="29">
        <v>405000</v>
      </c>
      <c r="H215" s="29"/>
      <c r="I215" s="29"/>
      <c r="J215" s="29"/>
      <c r="K215" s="29"/>
      <c r="L215" s="29"/>
      <c r="M215" s="29"/>
      <c r="N215" s="29"/>
      <c r="O215" s="27">
        <f t="shared" si="46"/>
        <v>418000</v>
      </c>
      <c r="P215" s="57"/>
      <c r="Q215" s="57"/>
    </row>
    <row r="216" spans="1:17" s="8" customFormat="1" ht="28.5" customHeight="1" x14ac:dyDescent="0.25">
      <c r="A216" s="49" t="s">
        <v>325</v>
      </c>
      <c r="B216" s="65" t="s">
        <v>427</v>
      </c>
      <c r="C216" s="29"/>
      <c r="D216" s="29"/>
      <c r="E216" s="29"/>
      <c r="F216" s="29">
        <f>103500-39000</f>
        <v>64500</v>
      </c>
      <c r="G216" s="29">
        <v>99000</v>
      </c>
      <c r="H216" s="29"/>
      <c r="I216" s="29"/>
      <c r="J216" s="29"/>
      <c r="K216" s="29"/>
      <c r="L216" s="29"/>
      <c r="M216" s="29"/>
      <c r="N216" s="29"/>
      <c r="O216" s="27">
        <f t="shared" si="46"/>
        <v>64500</v>
      </c>
      <c r="P216" s="57"/>
      <c r="Q216" s="57"/>
    </row>
    <row r="217" spans="1:17" s="4" customFormat="1" ht="28.5" customHeight="1" x14ac:dyDescent="0.25">
      <c r="A217" s="49" t="s">
        <v>326</v>
      </c>
      <c r="B217" s="33" t="s">
        <v>538</v>
      </c>
      <c r="C217" s="29">
        <v>170000</v>
      </c>
      <c r="D217" s="29"/>
      <c r="E217" s="29"/>
      <c r="F217" s="99">
        <f>227700+13200+12800</f>
        <v>253700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423700</v>
      </c>
      <c r="P217" s="58"/>
      <c r="Q217" s="57"/>
    </row>
    <row r="218" spans="1:17" s="8" customFormat="1" ht="15.75" customHeight="1" x14ac:dyDescent="0.25">
      <c r="A218" s="49" t="s">
        <v>327</v>
      </c>
      <c r="B218" s="65" t="s">
        <v>471</v>
      </c>
      <c r="C218" s="29"/>
      <c r="D218" s="29"/>
      <c r="E218" s="29"/>
      <c r="F218" s="29">
        <v>12500</v>
      </c>
      <c r="G218" s="29"/>
      <c r="H218" s="29"/>
      <c r="I218" s="29"/>
      <c r="J218" s="29"/>
      <c r="K218" s="29"/>
      <c r="L218" s="29"/>
      <c r="M218" s="29"/>
      <c r="N218" s="29"/>
      <c r="O218" s="27">
        <f>C218+F218+I218+L218</f>
        <v>12500</v>
      </c>
      <c r="P218" s="57"/>
      <c r="Q218" s="57"/>
    </row>
    <row r="219" spans="1:17" s="8" customFormat="1" ht="15.75" customHeight="1" x14ac:dyDescent="0.25">
      <c r="A219" s="49" t="s">
        <v>374</v>
      </c>
      <c r="B219" s="65" t="s">
        <v>373</v>
      </c>
      <c r="C219" s="29"/>
      <c r="D219" s="29"/>
      <c r="E219" s="29"/>
      <c r="F219" s="29">
        <f>99686-39216-20000</f>
        <v>40470</v>
      </c>
      <c r="G219" s="29"/>
      <c r="H219" s="29"/>
      <c r="I219" s="29"/>
      <c r="J219" s="29"/>
      <c r="K219" s="29"/>
      <c r="L219" s="29"/>
      <c r="M219" s="29"/>
      <c r="N219" s="29"/>
      <c r="O219" s="27">
        <f t="shared" si="46"/>
        <v>40470</v>
      </c>
      <c r="P219" s="57"/>
      <c r="Q219" s="57"/>
    </row>
    <row r="220" spans="1:17" s="10" customFormat="1" ht="15.75" customHeight="1" x14ac:dyDescent="0.3">
      <c r="A220" s="49" t="s">
        <v>472</v>
      </c>
      <c r="B220" s="33" t="s">
        <v>428</v>
      </c>
      <c r="C220" s="37">
        <v>14000</v>
      </c>
      <c r="D220" s="37"/>
      <c r="E220" s="37"/>
      <c r="F220" s="37">
        <f>28400-2694</f>
        <v>25706</v>
      </c>
      <c r="G220" s="37"/>
      <c r="H220" s="37"/>
      <c r="I220" s="38"/>
      <c r="J220" s="38"/>
      <c r="K220" s="37"/>
      <c r="L220" s="38"/>
      <c r="M220" s="37"/>
      <c r="N220" s="37"/>
      <c r="O220" s="27">
        <f t="shared" si="46"/>
        <v>39706</v>
      </c>
      <c r="P220" s="59"/>
      <c r="Q220" s="59"/>
    </row>
    <row r="221" spans="1:17" s="10" customFormat="1" ht="15.75" customHeight="1" x14ac:dyDescent="0.3">
      <c r="A221" s="49" t="s">
        <v>473</v>
      </c>
      <c r="B221" s="33" t="s">
        <v>474</v>
      </c>
      <c r="C221" s="100">
        <f>23000+8582-8300</f>
        <v>23282</v>
      </c>
      <c r="D221" s="37"/>
      <c r="E221" s="37"/>
      <c r="F221" s="37">
        <f>51125-3751</f>
        <v>47374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70656</v>
      </c>
      <c r="P221" s="59"/>
      <c r="Q221" s="59"/>
    </row>
    <row r="222" spans="1:17" s="10" customFormat="1" ht="30" customHeight="1" x14ac:dyDescent="0.3">
      <c r="A222" s="49" t="s">
        <v>328</v>
      </c>
      <c r="B222" s="33" t="s">
        <v>475</v>
      </c>
      <c r="C222" s="37"/>
      <c r="D222" s="37"/>
      <c r="E222" s="37"/>
      <c r="F222" s="37">
        <f>6626+719</f>
        <v>7345</v>
      </c>
      <c r="G222" s="37"/>
      <c r="H222" s="37"/>
      <c r="I222" s="38"/>
      <c r="J222" s="38"/>
      <c r="K222" s="37"/>
      <c r="L222" s="38"/>
      <c r="M222" s="37"/>
      <c r="N222" s="37"/>
      <c r="O222" s="27">
        <f>C222+F222+I222+L222</f>
        <v>7345</v>
      </c>
      <c r="P222" s="59"/>
      <c r="Q222" s="59"/>
    </row>
    <row r="223" spans="1:17" s="10" customFormat="1" ht="28.5" customHeight="1" x14ac:dyDescent="0.3">
      <c r="A223" s="49" t="s">
        <v>329</v>
      </c>
      <c r="B223" s="33" t="s">
        <v>388</v>
      </c>
      <c r="C223" s="37">
        <f>795000+166300</f>
        <v>961300</v>
      </c>
      <c r="D223" s="37"/>
      <c r="E223" s="37"/>
      <c r="F223" s="37">
        <f>6300</f>
        <v>6300</v>
      </c>
      <c r="G223" s="37"/>
      <c r="H223" s="37"/>
      <c r="I223" s="38"/>
      <c r="J223" s="38"/>
      <c r="K223" s="37"/>
      <c r="L223" s="38"/>
      <c r="M223" s="37"/>
      <c r="N223" s="37"/>
      <c r="O223" s="27">
        <f t="shared" si="46"/>
        <v>967600</v>
      </c>
      <c r="P223" s="59"/>
      <c r="Q223" s="59"/>
    </row>
    <row r="224" spans="1:17" s="10" customFormat="1" ht="28.5" customHeight="1" x14ac:dyDescent="0.3">
      <c r="A224" s="49" t="s">
        <v>330</v>
      </c>
      <c r="B224" s="33" t="s">
        <v>476</v>
      </c>
      <c r="C224" s="100">
        <f>24000-4500</f>
        <v>19500</v>
      </c>
      <c r="D224" s="37"/>
      <c r="E224" s="37"/>
      <c r="F224" s="37"/>
      <c r="G224" s="37"/>
      <c r="H224" s="37"/>
      <c r="I224" s="37"/>
      <c r="J224" s="37"/>
      <c r="K224" s="37"/>
      <c r="L224" s="38"/>
      <c r="M224" s="37"/>
      <c r="N224" s="37"/>
      <c r="O224" s="27">
        <f t="shared" si="46"/>
        <v>19500</v>
      </c>
      <c r="P224" s="59"/>
      <c r="Q224" s="59"/>
    </row>
    <row r="225" spans="1:17" s="4" customFormat="1" ht="15.75" customHeight="1" x14ac:dyDescent="0.25">
      <c r="A225" s="49" t="s">
        <v>331</v>
      </c>
      <c r="B225" s="33" t="s">
        <v>477</v>
      </c>
      <c r="C225" s="99">
        <f>353500-73600+11000</f>
        <v>290900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7">
        <f t="shared" si="46"/>
        <v>290900</v>
      </c>
      <c r="P225" s="58"/>
      <c r="Q225" s="57"/>
    </row>
    <row r="226" spans="1:17" s="4" customFormat="1" ht="45.75" customHeight="1" x14ac:dyDescent="0.25">
      <c r="A226" s="49" t="s">
        <v>332</v>
      </c>
      <c r="B226" s="33" t="s">
        <v>516</v>
      </c>
      <c r="C226" s="29">
        <f>25000+10000+3800+2900</f>
        <v>41700</v>
      </c>
      <c r="D226" s="31"/>
      <c r="E226" s="29"/>
      <c r="F226" s="99">
        <f>27583+10797+3132</f>
        <v>41512</v>
      </c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83212</v>
      </c>
      <c r="P226" s="58"/>
      <c r="Q226" s="57"/>
    </row>
    <row r="227" spans="1:17" s="10" customFormat="1" ht="15.75" customHeight="1" x14ac:dyDescent="0.3">
      <c r="A227" s="49" t="s">
        <v>333</v>
      </c>
      <c r="B227" s="33" t="s">
        <v>180</v>
      </c>
      <c r="C227" s="37">
        <v>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1000</v>
      </c>
      <c r="P227" s="59"/>
      <c r="Q227" s="59"/>
    </row>
    <row r="228" spans="1:17" s="4" customFormat="1" ht="30" customHeight="1" x14ac:dyDescent="0.25">
      <c r="A228" s="49" t="s">
        <v>334</v>
      </c>
      <c r="B228" s="45" t="s">
        <v>437</v>
      </c>
      <c r="C228" s="29">
        <v>222000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>
        <f t="shared" si="46"/>
        <v>222000</v>
      </c>
      <c r="P228" s="57"/>
      <c r="Q228" s="57"/>
    </row>
    <row r="229" spans="1:17" s="10" customFormat="1" ht="15.75" customHeight="1" x14ac:dyDescent="0.3">
      <c r="A229" s="49" t="s">
        <v>335</v>
      </c>
      <c r="B229" s="33" t="s">
        <v>156</v>
      </c>
      <c r="C229" s="54">
        <v>11000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11000</v>
      </c>
      <c r="P229" s="59"/>
      <c r="Q229" s="59"/>
    </row>
    <row r="230" spans="1:17" s="10" customFormat="1" ht="15.75" customHeight="1" x14ac:dyDescent="0.3">
      <c r="A230" s="49" t="s">
        <v>336</v>
      </c>
      <c r="B230" s="33" t="s">
        <v>375</v>
      </c>
      <c r="C230" s="37">
        <f>82950-20000</f>
        <v>62950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62950</v>
      </c>
      <c r="P230" s="59"/>
      <c r="Q230" s="59"/>
    </row>
    <row r="231" spans="1:17" s="10" customFormat="1" ht="15.75" customHeight="1" x14ac:dyDescent="0.3">
      <c r="A231" s="49" t="s">
        <v>337</v>
      </c>
      <c r="B231" s="33" t="s">
        <v>267</v>
      </c>
      <c r="C231" s="37">
        <v>2148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2148</v>
      </c>
      <c r="P231" s="59"/>
      <c r="Q231" s="59"/>
    </row>
    <row r="232" spans="1:17" s="10" customFormat="1" ht="45.75" customHeight="1" x14ac:dyDescent="0.3">
      <c r="A232" s="49" t="s">
        <v>338</v>
      </c>
      <c r="B232" s="33" t="s">
        <v>539</v>
      </c>
      <c r="C232" s="37">
        <f>5000+14000</f>
        <v>19000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19000</v>
      </c>
      <c r="P232" s="59"/>
      <c r="Q232" s="59"/>
    </row>
    <row r="233" spans="1:17" s="10" customFormat="1" ht="30.75" customHeight="1" x14ac:dyDescent="0.3">
      <c r="A233" s="49" t="s">
        <v>339</v>
      </c>
      <c r="B233" s="33" t="s">
        <v>183</v>
      </c>
      <c r="C233" s="37">
        <v>23000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>C233+F233+I233+L233</f>
        <v>23000</v>
      </c>
      <c r="P233" s="59"/>
      <c r="Q233" s="59"/>
    </row>
    <row r="234" spans="1:17" s="10" customFormat="1" ht="28.5" customHeight="1" x14ac:dyDescent="0.3">
      <c r="A234" s="49" t="s">
        <v>340</v>
      </c>
      <c r="B234" s="33" t="s">
        <v>526</v>
      </c>
      <c r="C234" s="37">
        <f>187400-20350</f>
        <v>167050</v>
      </c>
      <c r="D234" s="37">
        <v>184150</v>
      </c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167050</v>
      </c>
      <c r="P234" s="59"/>
      <c r="Q234" s="59"/>
    </row>
    <row r="235" spans="1:17" s="10" customFormat="1" ht="30" customHeight="1" x14ac:dyDescent="0.3">
      <c r="A235" s="49" t="s">
        <v>341</v>
      </c>
      <c r="B235" s="60" t="s">
        <v>304</v>
      </c>
      <c r="C235" s="37">
        <f>208800-112521</f>
        <v>96279</v>
      </c>
      <c r="D235" s="37">
        <v>205070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96279</v>
      </c>
      <c r="P235" s="59"/>
      <c r="Q235" s="59"/>
    </row>
    <row r="236" spans="1:17" s="10" customFormat="1" ht="29.25" customHeight="1" x14ac:dyDescent="0.3">
      <c r="A236" s="49" t="s">
        <v>478</v>
      </c>
      <c r="B236" s="33" t="s">
        <v>181</v>
      </c>
      <c r="C236" s="37">
        <v>601400</v>
      </c>
      <c r="D236" s="37">
        <v>580000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601400</v>
      </c>
      <c r="P236" s="59"/>
      <c r="Q236" s="59"/>
    </row>
    <row r="237" spans="1:17" s="10" customFormat="1" ht="30" customHeight="1" x14ac:dyDescent="0.3">
      <c r="A237" s="49" t="s">
        <v>377</v>
      </c>
      <c r="B237" s="33" t="s">
        <v>376</v>
      </c>
      <c r="C237" s="37">
        <v>90700</v>
      </c>
      <c r="D237" s="37">
        <v>22700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90700</v>
      </c>
      <c r="P237" s="59"/>
      <c r="Q237" s="59"/>
    </row>
    <row r="238" spans="1:17" s="10" customFormat="1" ht="29.25" customHeight="1" x14ac:dyDescent="0.3">
      <c r="A238" s="49" t="s">
        <v>429</v>
      </c>
      <c r="B238" s="60" t="s">
        <v>206</v>
      </c>
      <c r="C238" s="37">
        <v>417400</v>
      </c>
      <c r="D238" s="37">
        <v>410140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417400</v>
      </c>
      <c r="P238" s="59"/>
      <c r="Q238" s="59"/>
    </row>
    <row r="239" spans="1:17" s="10" customFormat="1" ht="45.75" customHeight="1" x14ac:dyDescent="0.3">
      <c r="A239" s="49" t="s">
        <v>479</v>
      </c>
      <c r="B239" s="33" t="s">
        <v>187</v>
      </c>
      <c r="C239" s="37">
        <v>76200</v>
      </c>
      <c r="D239" s="37">
        <v>60000</v>
      </c>
      <c r="E239" s="37"/>
      <c r="F239" s="38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76200</v>
      </c>
      <c r="P239" s="59"/>
      <c r="Q239" s="59"/>
    </row>
    <row r="240" spans="1:17" s="10" customFormat="1" ht="29.25" customHeight="1" x14ac:dyDescent="0.3">
      <c r="A240" s="49" t="s">
        <v>480</v>
      </c>
      <c r="B240" s="60" t="s">
        <v>481</v>
      </c>
      <c r="C240" s="37">
        <f>137400+30520</f>
        <v>167920</v>
      </c>
      <c r="D240" s="37">
        <v>135000</v>
      </c>
      <c r="E240" s="37"/>
      <c r="F240" s="37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167920</v>
      </c>
      <c r="P240" s="59"/>
      <c r="Q240" s="59"/>
    </row>
    <row r="241" spans="1:21" s="10" customFormat="1" ht="29.25" customHeight="1" x14ac:dyDescent="0.3">
      <c r="A241" s="49" t="s">
        <v>482</v>
      </c>
      <c r="B241" s="60" t="s">
        <v>483</v>
      </c>
      <c r="C241" s="37">
        <f>142000-37000-43187+102351</f>
        <v>164164</v>
      </c>
      <c r="D241" s="37">
        <v>120000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164164</v>
      </c>
      <c r="P241" s="59"/>
      <c r="Q241" s="59"/>
    </row>
    <row r="242" spans="1:21" s="10" customFormat="1" ht="30" customHeight="1" x14ac:dyDescent="0.3">
      <c r="A242" s="49" t="s">
        <v>484</v>
      </c>
      <c r="B242" s="33" t="s">
        <v>485</v>
      </c>
      <c r="C242" s="37">
        <v>48440</v>
      </c>
      <c r="D242" s="37">
        <v>40000</v>
      </c>
      <c r="E242" s="37"/>
      <c r="F242" s="38"/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48440</v>
      </c>
      <c r="P242" s="59"/>
      <c r="Q242" s="59"/>
    </row>
    <row r="243" spans="1:21" s="10" customFormat="1" ht="33" customHeight="1" x14ac:dyDescent="0.3">
      <c r="A243" s="49" t="s">
        <v>430</v>
      </c>
      <c r="B243" s="33" t="s">
        <v>486</v>
      </c>
      <c r="C243" s="37"/>
      <c r="D243" s="37"/>
      <c r="E243" s="37"/>
      <c r="F243" s="37">
        <v>6750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6750</v>
      </c>
      <c r="Q243" s="93"/>
      <c r="T243" s="93"/>
      <c r="U243" s="93"/>
    </row>
    <row r="244" spans="1:21" s="10" customFormat="1" ht="30.75" customHeight="1" x14ac:dyDescent="0.3">
      <c r="A244" s="49" t="s">
        <v>522</v>
      </c>
      <c r="B244" s="33" t="s">
        <v>431</v>
      </c>
      <c r="C244" s="37"/>
      <c r="D244" s="37"/>
      <c r="E244" s="37"/>
      <c r="F244" s="37">
        <v>445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445</v>
      </c>
      <c r="Q244" s="93"/>
      <c r="T244" s="93"/>
      <c r="U244" s="93"/>
    </row>
    <row r="245" spans="1:21" s="10" customFormat="1" ht="30.75" customHeight="1" x14ac:dyDescent="0.3">
      <c r="A245" s="49" t="s">
        <v>525</v>
      </c>
      <c r="B245" s="33" t="s">
        <v>523</v>
      </c>
      <c r="C245" s="37"/>
      <c r="D245" s="37"/>
      <c r="E245" s="37"/>
      <c r="F245" s="100">
        <f>18391+9814</f>
        <v>28205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28205</v>
      </c>
      <c r="Q245" s="93"/>
      <c r="T245" s="93"/>
      <c r="U245" s="93"/>
    </row>
    <row r="246" spans="1:21" s="10" customFormat="1" ht="15.6" x14ac:dyDescent="0.3">
      <c r="A246" s="49" t="s">
        <v>527</v>
      </c>
      <c r="B246" s="33" t="s">
        <v>524</v>
      </c>
      <c r="C246" s="37"/>
      <c r="D246" s="37"/>
      <c r="E246" s="37"/>
      <c r="F246" s="37">
        <v>100000</v>
      </c>
      <c r="G246" s="37"/>
      <c r="H246" s="37"/>
      <c r="I246" s="38"/>
      <c r="J246" s="38"/>
      <c r="K246" s="37"/>
      <c r="L246" s="38"/>
      <c r="M246" s="37"/>
      <c r="N246" s="37"/>
      <c r="O246" s="27">
        <f>C246+F246+I246+L246</f>
        <v>100000</v>
      </c>
      <c r="Q246" s="93"/>
      <c r="T246" s="93"/>
      <c r="U246" s="93"/>
    </row>
    <row r="247" spans="1:21" s="10" customFormat="1" ht="15.6" x14ac:dyDescent="0.3">
      <c r="A247" s="49" t="s">
        <v>542</v>
      </c>
      <c r="B247" s="33" t="s">
        <v>543</v>
      </c>
      <c r="C247" s="37"/>
      <c r="D247" s="37"/>
      <c r="E247" s="37"/>
      <c r="F247" s="37">
        <v>1700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1700</v>
      </c>
      <c r="Q247" s="93"/>
      <c r="T247" s="93"/>
      <c r="U247" s="93"/>
    </row>
    <row r="248" spans="1:21" s="4" customFormat="1" ht="18" customHeight="1" x14ac:dyDescent="0.25">
      <c r="A248" s="27" t="s">
        <v>147</v>
      </c>
      <c r="B248" s="42" t="s">
        <v>13</v>
      </c>
      <c r="C248" s="27">
        <f>246000-142000+142000+9700+24000</f>
        <v>279700</v>
      </c>
      <c r="D248" s="27">
        <f>242500-120000+120000</f>
        <v>242500</v>
      </c>
      <c r="E248" s="27"/>
      <c r="F248" s="27">
        <f>16000-5000</f>
        <v>11000</v>
      </c>
      <c r="G248" s="27">
        <f>15770-4920</f>
        <v>10850</v>
      </c>
      <c r="H248" s="27"/>
      <c r="I248" s="27"/>
      <c r="J248" s="27"/>
      <c r="K248" s="27"/>
      <c r="L248" s="103">
        <f>237000+14500</f>
        <v>251500</v>
      </c>
      <c r="M248" s="27">
        <v>147511</v>
      </c>
      <c r="N248" s="27"/>
      <c r="O248" s="27">
        <f t="shared" si="46"/>
        <v>542200</v>
      </c>
      <c r="P248" s="57"/>
      <c r="Q248" s="57"/>
    </row>
    <row r="249" spans="1:21" s="4" customFormat="1" ht="16.5" customHeight="1" x14ac:dyDescent="0.25">
      <c r="A249" s="27" t="s">
        <v>148</v>
      </c>
      <c r="B249" s="42" t="s">
        <v>305</v>
      </c>
      <c r="C249" s="27">
        <f>152000+107000+43187-2900</f>
        <v>299287</v>
      </c>
      <c r="D249" s="27">
        <f>240000-120000</f>
        <v>120000</v>
      </c>
      <c r="E249" s="27"/>
      <c r="F249" s="27">
        <f>20000+545+4444</f>
        <v>24989</v>
      </c>
      <c r="G249" s="27">
        <f>14790+4920</f>
        <v>19710</v>
      </c>
      <c r="H249" s="27"/>
      <c r="I249" s="27"/>
      <c r="J249" s="27"/>
      <c r="K249" s="27"/>
      <c r="L249" s="27">
        <f>4800+181374-3770-90580</f>
        <v>91824</v>
      </c>
      <c r="M249" s="27">
        <v>178782</v>
      </c>
      <c r="N249" s="27"/>
      <c r="O249" s="27">
        <f>C249+F249+I249+L249</f>
        <v>416100</v>
      </c>
      <c r="P249" s="57"/>
      <c r="Q249" s="57"/>
    </row>
    <row r="250" spans="1:21" s="7" customFormat="1" ht="18" customHeight="1" x14ac:dyDescent="0.25">
      <c r="A250" s="27"/>
      <c r="B250" s="50" t="s">
        <v>24</v>
      </c>
      <c r="C250" s="63">
        <f t="shared" ref="C250:N250" si="47">C12+C41+C48+C56+C89+C115+C146+C204</f>
        <v>29234138</v>
      </c>
      <c r="D250" s="63">
        <f t="shared" si="47"/>
        <v>16004721</v>
      </c>
      <c r="E250" s="63">
        <f t="shared" si="47"/>
        <v>0</v>
      </c>
      <c r="F250" s="63">
        <f t="shared" si="47"/>
        <v>8446475</v>
      </c>
      <c r="G250" s="63">
        <f t="shared" si="47"/>
        <v>2075585</v>
      </c>
      <c r="H250" s="63">
        <f t="shared" si="47"/>
        <v>195370</v>
      </c>
      <c r="I250" s="63">
        <f>I12+I41+I48+I56+I89+I115+I146+I204</f>
        <v>12645800</v>
      </c>
      <c r="J250" s="63">
        <f t="shared" si="47"/>
        <v>10193706</v>
      </c>
      <c r="K250" s="63">
        <f t="shared" si="47"/>
        <v>0</v>
      </c>
      <c r="L250" s="63">
        <f t="shared" si="47"/>
        <v>2663903</v>
      </c>
      <c r="M250" s="63">
        <f t="shared" si="47"/>
        <v>374423</v>
      </c>
      <c r="N250" s="63">
        <f t="shared" si="47"/>
        <v>0</v>
      </c>
      <c r="O250" s="63">
        <f>O12+O41+O48+O56+O89+O115+O146+O204</f>
        <v>52990316</v>
      </c>
      <c r="P250" s="57"/>
      <c r="Q250" s="57"/>
    </row>
    <row r="251" spans="1:21" s="10" customFormat="1" ht="15.75" customHeight="1" x14ac:dyDescent="0.3">
      <c r="A251" s="27" t="s">
        <v>149</v>
      </c>
      <c r="B251" s="42" t="s">
        <v>23</v>
      </c>
      <c r="C251" s="38">
        <f>SUM(C253,C252)</f>
        <v>1083664</v>
      </c>
      <c r="D251" s="37"/>
      <c r="E251" s="37"/>
      <c r="F251" s="38">
        <f>SUM(F253)</f>
        <v>0</v>
      </c>
      <c r="G251" s="37"/>
      <c r="H251" s="37"/>
      <c r="I251" s="38"/>
      <c r="J251" s="38"/>
      <c r="K251" s="37"/>
      <c r="L251" s="38"/>
      <c r="M251" s="37"/>
      <c r="N251" s="37"/>
      <c r="O251" s="27">
        <f>C251+F251+I251+L251</f>
        <v>1083664</v>
      </c>
      <c r="P251" s="57"/>
      <c r="Q251" s="57"/>
    </row>
    <row r="252" spans="1:21" s="7" customFormat="1" ht="18" customHeight="1" x14ac:dyDescent="0.25">
      <c r="A252" s="66" t="s">
        <v>342</v>
      </c>
      <c r="B252" s="45" t="s">
        <v>198</v>
      </c>
      <c r="C252" s="29">
        <f>927100-25000</f>
        <v>902100</v>
      </c>
      <c r="D252" s="31"/>
      <c r="E252" s="29"/>
      <c r="F252" s="31"/>
      <c r="G252" s="31"/>
      <c r="H252" s="31"/>
      <c r="I252" s="31"/>
      <c r="J252" s="31"/>
      <c r="K252" s="31"/>
      <c r="L252" s="31"/>
      <c r="M252" s="31"/>
      <c r="N252" s="31"/>
      <c r="O252" s="27">
        <f>C252+F252+I252+L252</f>
        <v>902100</v>
      </c>
      <c r="P252" s="58"/>
      <c r="Q252" s="58"/>
    </row>
    <row r="253" spans="1:21" s="7" customFormat="1" ht="18" customHeight="1" x14ac:dyDescent="0.25">
      <c r="A253" s="66" t="s">
        <v>342</v>
      </c>
      <c r="B253" s="45" t="s">
        <v>487</v>
      </c>
      <c r="C253" s="29">
        <f>156564+25000</f>
        <v>181564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181564</v>
      </c>
      <c r="P253" s="58"/>
      <c r="Q253" s="58"/>
    </row>
    <row r="254" spans="1:21" s="2" customFormat="1" ht="18.75" customHeight="1" x14ac:dyDescent="0.3">
      <c r="A254" s="41"/>
      <c r="B254" s="32"/>
      <c r="C254" s="1"/>
      <c r="F254" s="9"/>
      <c r="I254" s="9"/>
      <c r="J254" s="9"/>
      <c r="K254" s="7"/>
      <c r="L254" s="9"/>
      <c r="O254" s="1"/>
      <c r="P254" s="17"/>
      <c r="Q254" s="17"/>
    </row>
    <row r="255" spans="1:21" s="7" customFormat="1" ht="15" customHeight="1" x14ac:dyDescent="0.25">
      <c r="A255" s="41"/>
      <c r="B255" s="32"/>
      <c r="C255" s="9"/>
      <c r="F255" s="9"/>
      <c r="I255" s="9"/>
      <c r="J255" s="9"/>
      <c r="L255" s="9"/>
      <c r="P255" s="58"/>
      <c r="Q255" s="58"/>
    </row>
    <row r="256" spans="1:21" s="7" customFormat="1" ht="15" customHeight="1" x14ac:dyDescent="0.25">
      <c r="A256" s="41"/>
      <c r="B256" s="32"/>
      <c r="C256" s="78"/>
      <c r="D256" s="79"/>
      <c r="E256" s="79"/>
      <c r="F256" s="78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9"/>
      <c r="F257" s="9"/>
      <c r="I257" s="9"/>
      <c r="J257" s="9"/>
      <c r="L257" s="9"/>
      <c r="P257" s="58"/>
      <c r="Q257" s="58"/>
    </row>
    <row r="258" spans="1:17" s="7" customFormat="1" ht="15" customHeight="1" x14ac:dyDescent="0.25">
      <c r="A258" s="41"/>
      <c r="B258" s="32"/>
      <c r="C258" s="9"/>
      <c r="F258" s="9"/>
      <c r="I258" s="9"/>
      <c r="J258" s="9"/>
      <c r="L258" s="9"/>
      <c r="P258" s="58"/>
      <c r="Q258" s="58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3:O203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1  priedas</vt:lpstr>
      <vt:lpstr>2  priedas</vt:lpstr>
      <vt:lpstr>3 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2024-10-28T18:53:41Z</cp:lastPrinted>
  <dcterms:created xsi:type="dcterms:W3CDTF">2001-01-28T19:21:19Z</dcterms:created>
  <dcterms:modified xsi:type="dcterms:W3CDTF">2024-11-14T14:02:38Z</dcterms:modified>
</cp:coreProperties>
</file>