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TSP/"/>
    </mc:Choice>
  </mc:AlternateContent>
  <xr:revisionPtr revIDLastSave="2" documentId="8_{C7D8845A-B8CE-475F-8582-294B84269227}" xr6:coauthVersionLast="47" xr6:coauthVersionMax="47" xr10:uidLastSave="{835FDD6D-1966-4969-8CDF-9F0ED4C4A650}"/>
  <bookViews>
    <workbookView xWindow="-108" yWindow="-108" windowWidth="23256" windowHeight="12576" tabRatio="758" activeTab="2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C147" i="19" l="1"/>
  <c r="C132" i="19"/>
  <c r="C17" i="18"/>
  <c r="C18" i="18"/>
  <c r="C19" i="18"/>
  <c r="C15" i="18"/>
  <c r="C117" i="19"/>
  <c r="C82" i="19"/>
  <c r="C221" i="19"/>
  <c r="F219" i="19"/>
  <c r="F221" i="19"/>
  <c r="F19" i="19"/>
  <c r="C25" i="18"/>
  <c r="C12" i="18"/>
  <c r="C40" i="15"/>
  <c r="L105" i="19"/>
  <c r="C16" i="18"/>
  <c r="C21" i="18"/>
  <c r="C21" i="15"/>
  <c r="F87" i="19"/>
  <c r="F18" i="19"/>
  <c r="C22" i="18"/>
  <c r="C32" i="15"/>
  <c r="C16" i="20"/>
  <c r="C28" i="20"/>
  <c r="C225" i="19"/>
  <c r="C52" i="19"/>
  <c r="C38" i="19"/>
  <c r="C191" i="19"/>
  <c r="C224" i="19"/>
  <c r="L91" i="19"/>
  <c r="L92" i="19"/>
  <c r="C101" i="19"/>
  <c r="C14" i="18"/>
  <c r="L26" i="19"/>
  <c r="L29" i="19"/>
  <c r="C26" i="18"/>
  <c r="C28" i="15"/>
  <c r="C27" i="15"/>
  <c r="F245" i="19"/>
  <c r="C24" i="18"/>
  <c r="C38" i="15"/>
  <c r="L174" i="19"/>
  <c r="L147" i="19"/>
  <c r="L180" i="19"/>
  <c r="L162" i="19"/>
  <c r="L182" i="19"/>
  <c r="L154" i="19"/>
  <c r="L168" i="19"/>
  <c r="L248" i="19"/>
  <c r="L121" i="19"/>
  <c r="L116" i="19"/>
  <c r="L117" i="19"/>
  <c r="C29" i="15"/>
  <c r="F217" i="19"/>
  <c r="C37" i="15"/>
  <c r="F212" i="19"/>
  <c r="F206" i="19"/>
  <c r="F208" i="19"/>
  <c r="F226" i="19"/>
  <c r="C42" i="15"/>
  <c r="O86" i="19"/>
  <c r="O107" i="19"/>
  <c r="I97" i="19"/>
  <c r="F46" i="19"/>
  <c r="C13" i="18"/>
  <c r="F209" i="19"/>
  <c r="C25" i="20"/>
  <c r="C11" i="15" l="1"/>
  <c r="C17" i="19"/>
  <c r="F216" i="19"/>
  <c r="C131" i="19"/>
  <c r="C27" i="20"/>
  <c r="C24" i="19" l="1"/>
  <c r="C28" i="19"/>
  <c r="C25" i="19"/>
  <c r="C22" i="19"/>
  <c r="C21" i="19"/>
  <c r="C182" i="19"/>
  <c r="C118" i="19"/>
  <c r="C116" i="19"/>
  <c r="C119" i="19"/>
  <c r="C248" i="19"/>
  <c r="C130" i="19"/>
  <c r="C98" i="19"/>
  <c r="C34" i="19"/>
  <c r="C81" i="19"/>
  <c r="C80" i="19"/>
  <c r="C76" i="19"/>
  <c r="C185" i="19"/>
  <c r="C188" i="19"/>
  <c r="C18" i="15"/>
  <c r="C17" i="15"/>
  <c r="C22" i="15"/>
  <c r="C19" i="15"/>
  <c r="C13" i="15"/>
  <c r="C14" i="15"/>
  <c r="I182" i="19" l="1"/>
  <c r="I181" i="19"/>
  <c r="I174" i="19"/>
  <c r="I177" i="19"/>
  <c r="I168" i="19"/>
  <c r="I162" i="19"/>
  <c r="I155" i="19"/>
  <c r="I154" i="19"/>
  <c r="I148" i="19"/>
  <c r="I147" i="19"/>
  <c r="I192" i="19"/>
  <c r="C23" i="18"/>
  <c r="C33" i="15"/>
  <c r="C36" i="15"/>
  <c r="F180" i="19"/>
  <c r="F155" i="19"/>
  <c r="F148" i="19"/>
  <c r="F181" i="19"/>
  <c r="L118" i="19" l="1"/>
  <c r="F106" i="19"/>
  <c r="F97" i="19" s="1"/>
  <c r="C48" i="15"/>
  <c r="O247" i="19"/>
  <c r="C30" i="20" l="1"/>
  <c r="L249" i="19"/>
  <c r="C249" i="19"/>
  <c r="C226" i="19"/>
  <c r="C20" i="15"/>
  <c r="F194" i="19" l="1"/>
  <c r="L155" i="19" l="1"/>
  <c r="L148" i="19"/>
  <c r="F223" i="19"/>
  <c r="C44" i="15"/>
  <c r="F214" i="19" l="1"/>
  <c r="C78" i="19"/>
  <c r="C84" i="19"/>
  <c r="L152" i="19"/>
  <c r="L151" i="19" s="1"/>
  <c r="C153" i="19"/>
  <c r="C152" i="19"/>
  <c r="I153" i="19"/>
  <c r="I152" i="19"/>
  <c r="L160" i="19"/>
  <c r="C161" i="19"/>
  <c r="C160" i="19"/>
  <c r="I161" i="19"/>
  <c r="I160" i="19"/>
  <c r="L157" i="19"/>
  <c r="L158" i="19"/>
  <c r="C158" i="19"/>
  <c r="C157" i="19"/>
  <c r="I158" i="19"/>
  <c r="I157" i="19"/>
  <c r="C155" i="19"/>
  <c r="L166" i="19"/>
  <c r="C167" i="19"/>
  <c r="C166" i="19"/>
  <c r="I167" i="19"/>
  <c r="I166" i="19"/>
  <c r="L172" i="19"/>
  <c r="C173" i="19"/>
  <c r="C172" i="19"/>
  <c r="I173" i="19"/>
  <c r="I172" i="19"/>
  <c r="I151" i="19" l="1"/>
  <c r="G205" i="19"/>
  <c r="H205" i="19"/>
  <c r="H204" i="19" s="1"/>
  <c r="I205" i="19"/>
  <c r="I204" i="19" s="1"/>
  <c r="J205" i="19"/>
  <c r="J204" i="19" s="1"/>
  <c r="K205" i="19"/>
  <c r="L205" i="19"/>
  <c r="L204" i="19" s="1"/>
  <c r="D205" i="19"/>
  <c r="E205" i="19"/>
  <c r="C112" i="19"/>
  <c r="F176" i="19"/>
  <c r="C176" i="19"/>
  <c r="F178" i="19"/>
  <c r="F177" i="19" s="1"/>
  <c r="C178" i="19"/>
  <c r="O155" i="19"/>
  <c r="F154" i="19"/>
  <c r="C154" i="19"/>
  <c r="L95" i="19"/>
  <c r="O95" i="19" s="1"/>
  <c r="C213" i="19"/>
  <c r="O213" i="19" s="1"/>
  <c r="C240" i="19"/>
  <c r="O240" i="19" s="1"/>
  <c r="C241" i="19"/>
  <c r="C235" i="19"/>
  <c r="O235" i="19" s="1"/>
  <c r="C223" i="19"/>
  <c r="O223" i="19" s="1"/>
  <c r="C232" i="19"/>
  <c r="O232" i="19" s="1"/>
  <c r="C234" i="19"/>
  <c r="O234" i="19" s="1"/>
  <c r="C184" i="19"/>
  <c r="C183" i="19" s="1"/>
  <c r="C102" i="19"/>
  <c r="C97" i="19" s="1"/>
  <c r="C69" i="19"/>
  <c r="O69" i="19" s="1"/>
  <c r="C66" i="19"/>
  <c r="C62" i="19"/>
  <c r="O62" i="19" s="1"/>
  <c r="C67" i="19"/>
  <c r="O67" i="19" s="1"/>
  <c r="F195" i="19"/>
  <c r="O195" i="19" s="1"/>
  <c r="O246" i="19"/>
  <c r="O208" i="19"/>
  <c r="F207" i="19"/>
  <c r="O207" i="19" s="1"/>
  <c r="O212" i="19"/>
  <c r="O226" i="19"/>
  <c r="F220" i="19"/>
  <c r="O220" i="19" s="1"/>
  <c r="O219" i="19"/>
  <c r="O245" i="19"/>
  <c r="O194" i="19"/>
  <c r="F193" i="19"/>
  <c r="O193" i="19" s="1"/>
  <c r="C24" i="20"/>
  <c r="C15" i="20"/>
  <c r="C34" i="20"/>
  <c r="C163" i="19"/>
  <c r="C164" i="19"/>
  <c r="O164" i="19" s="1"/>
  <c r="O173" i="19"/>
  <c r="C170" i="19"/>
  <c r="O160" i="19"/>
  <c r="O167" i="19"/>
  <c r="O158" i="19"/>
  <c r="C150" i="19"/>
  <c r="O150" i="19" s="1"/>
  <c r="C175" i="19"/>
  <c r="O153" i="19"/>
  <c r="C202" i="19"/>
  <c r="O202" i="19" s="1"/>
  <c r="I183" i="19"/>
  <c r="G183" i="19"/>
  <c r="H183" i="19"/>
  <c r="O106" i="19"/>
  <c r="O19" i="19"/>
  <c r="C54" i="15"/>
  <c r="C52" i="15" s="1"/>
  <c r="C51" i="15"/>
  <c r="C46" i="15"/>
  <c r="C45" i="15"/>
  <c r="C10" i="15"/>
  <c r="C28" i="18"/>
  <c r="C27" i="18"/>
  <c r="C253" i="19"/>
  <c r="C252" i="19"/>
  <c r="O252" i="19" s="1"/>
  <c r="F251" i="19"/>
  <c r="G249" i="19"/>
  <c r="F249" i="19"/>
  <c r="D249" i="19"/>
  <c r="G248" i="19"/>
  <c r="F248" i="19"/>
  <c r="O248" i="19" s="1"/>
  <c r="D248" i="19"/>
  <c r="O244" i="19"/>
  <c r="O243" i="19"/>
  <c r="O242" i="19"/>
  <c r="O241" i="19"/>
  <c r="O239" i="19"/>
  <c r="O238" i="19"/>
  <c r="O237" i="19"/>
  <c r="O236" i="19"/>
  <c r="O233" i="19"/>
  <c r="O231" i="19"/>
  <c r="C230" i="19"/>
  <c r="O230" i="19" s="1"/>
  <c r="O229" i="19"/>
  <c r="O228" i="19"/>
  <c r="O227" i="19"/>
  <c r="O225" i="19"/>
  <c r="O224" i="19"/>
  <c r="F222" i="19"/>
  <c r="O222" i="19" s="1"/>
  <c r="O221" i="19"/>
  <c r="O218" i="19"/>
  <c r="O217" i="19"/>
  <c r="O216" i="19"/>
  <c r="O215" i="19"/>
  <c r="O214" i="19"/>
  <c r="O211" i="19"/>
  <c r="O210" i="19"/>
  <c r="O209" i="19"/>
  <c r="N205" i="19"/>
  <c r="N204" i="19" s="1"/>
  <c r="M205" i="19"/>
  <c r="M204" i="19" s="1"/>
  <c r="K204" i="19"/>
  <c r="E204" i="19"/>
  <c r="O201" i="19"/>
  <c r="O200" i="19"/>
  <c r="O199" i="19"/>
  <c r="O198" i="19"/>
  <c r="O197" i="19"/>
  <c r="N196" i="19"/>
  <c r="M196" i="19"/>
  <c r="L196" i="19"/>
  <c r="K196" i="19"/>
  <c r="J196" i="19"/>
  <c r="I196" i="19"/>
  <c r="H196" i="19"/>
  <c r="G196" i="19"/>
  <c r="F196" i="19"/>
  <c r="E196" i="19"/>
  <c r="D196" i="19"/>
  <c r="O192" i="19"/>
  <c r="O191" i="19"/>
  <c r="O190" i="19"/>
  <c r="O189" i="19"/>
  <c r="O188" i="19"/>
  <c r="F187" i="19"/>
  <c r="O187" i="19" s="1"/>
  <c r="O186" i="19"/>
  <c r="O185" i="19"/>
  <c r="N183" i="19"/>
  <c r="M183" i="19"/>
  <c r="L183" i="19"/>
  <c r="K183" i="19"/>
  <c r="J183" i="19"/>
  <c r="E183" i="19"/>
  <c r="D183" i="19"/>
  <c r="O182" i="19"/>
  <c r="O181" i="19"/>
  <c r="G180" i="19"/>
  <c r="C180" i="19"/>
  <c r="O179" i="19"/>
  <c r="L178" i="19"/>
  <c r="L177" i="19" s="1"/>
  <c r="G178" i="19"/>
  <c r="G177" i="19" s="1"/>
  <c r="D178" i="19"/>
  <c r="D177" i="19" s="1"/>
  <c r="N177" i="19"/>
  <c r="M177" i="19"/>
  <c r="K177" i="19"/>
  <c r="J177" i="19"/>
  <c r="H177" i="19"/>
  <c r="E177" i="19"/>
  <c r="G175" i="19"/>
  <c r="G174" i="19" s="1"/>
  <c r="F175" i="19"/>
  <c r="F174" i="19" s="1"/>
  <c r="D175" i="19"/>
  <c r="D174" i="19" s="1"/>
  <c r="N174" i="19"/>
  <c r="M174" i="19"/>
  <c r="K174" i="19"/>
  <c r="J174" i="19"/>
  <c r="H174" i="19"/>
  <c r="E174" i="19"/>
  <c r="D173" i="19"/>
  <c r="D171" i="19" s="1"/>
  <c r="C171" i="19"/>
  <c r="N171" i="19"/>
  <c r="M171" i="19"/>
  <c r="L171" i="19"/>
  <c r="K171" i="19"/>
  <c r="J171" i="19"/>
  <c r="I171" i="19"/>
  <c r="H171" i="19"/>
  <c r="G171" i="19"/>
  <c r="F171" i="19"/>
  <c r="E171" i="19"/>
  <c r="D170" i="19"/>
  <c r="O170" i="19"/>
  <c r="G169" i="19"/>
  <c r="G168" i="19" s="1"/>
  <c r="F169" i="19"/>
  <c r="F168" i="19" s="1"/>
  <c r="D169" i="19"/>
  <c r="D168" i="19" s="1"/>
  <c r="C169" i="19"/>
  <c r="C168" i="19" s="1"/>
  <c r="N168" i="19"/>
  <c r="M168" i="19"/>
  <c r="K168" i="19"/>
  <c r="J168" i="19"/>
  <c r="H168" i="19"/>
  <c r="E168" i="19"/>
  <c r="D167" i="19"/>
  <c r="D166" i="19"/>
  <c r="N165" i="19"/>
  <c r="M165" i="19"/>
  <c r="L165" i="19"/>
  <c r="K165" i="19"/>
  <c r="J165" i="19"/>
  <c r="I165" i="19"/>
  <c r="H165" i="19"/>
  <c r="G165" i="19"/>
  <c r="F165" i="19"/>
  <c r="E165" i="19"/>
  <c r="D164" i="19"/>
  <c r="G163" i="19"/>
  <c r="F163" i="19"/>
  <c r="F162" i="19" s="1"/>
  <c r="D163" i="19"/>
  <c r="N162" i="19"/>
  <c r="M162" i="19"/>
  <c r="K162" i="19"/>
  <c r="J162" i="19"/>
  <c r="H162" i="19"/>
  <c r="G162" i="19"/>
  <c r="E162" i="19"/>
  <c r="D161" i="19"/>
  <c r="D159" i="19" s="1"/>
  <c r="O161" i="19"/>
  <c r="N159" i="19"/>
  <c r="M159" i="19"/>
  <c r="L159" i="19"/>
  <c r="K159" i="19"/>
  <c r="J159" i="19"/>
  <c r="I159" i="19"/>
  <c r="H159" i="19"/>
  <c r="G159" i="19"/>
  <c r="F159" i="19"/>
  <c r="E159" i="19"/>
  <c r="D158" i="19"/>
  <c r="D156" i="19" s="1"/>
  <c r="O157" i="19"/>
  <c r="N156" i="19"/>
  <c r="M156" i="19"/>
  <c r="L156" i="19"/>
  <c r="K156" i="19"/>
  <c r="J156" i="19"/>
  <c r="I156" i="19"/>
  <c r="H156" i="19"/>
  <c r="G156" i="19"/>
  <c r="F156" i="19"/>
  <c r="E156" i="19"/>
  <c r="D153" i="19"/>
  <c r="D151" i="19" s="1"/>
  <c r="G152" i="19"/>
  <c r="G151" i="19" s="1"/>
  <c r="F152" i="19"/>
  <c r="F151" i="19" s="1"/>
  <c r="N151" i="19"/>
  <c r="M151" i="19"/>
  <c r="K151" i="19"/>
  <c r="J151" i="19"/>
  <c r="H151" i="19"/>
  <c r="E151" i="19"/>
  <c r="D150" i="19"/>
  <c r="D148" i="19" s="1"/>
  <c r="G149" i="19"/>
  <c r="G148" i="19" s="1"/>
  <c r="C149" i="19"/>
  <c r="N148" i="19"/>
  <c r="M148" i="19"/>
  <c r="K148" i="19"/>
  <c r="J148" i="19"/>
  <c r="H148" i="19"/>
  <c r="E148" i="19"/>
  <c r="C144" i="19"/>
  <c r="O144" i="19" s="1"/>
  <c r="O143" i="19"/>
  <c r="O142" i="19"/>
  <c r="O141" i="19"/>
  <c r="N140" i="19"/>
  <c r="M140" i="19"/>
  <c r="L140" i="19"/>
  <c r="K140" i="19"/>
  <c r="J140" i="19"/>
  <c r="I140" i="19"/>
  <c r="H140" i="19"/>
  <c r="G140" i="19"/>
  <c r="F140" i="19"/>
  <c r="E140" i="19"/>
  <c r="D140" i="19"/>
  <c r="O139" i="19"/>
  <c r="O138" i="19"/>
  <c r="O137" i="19"/>
  <c r="O136" i="19"/>
  <c r="O135" i="19"/>
  <c r="O134" i="19"/>
  <c r="O133" i="19"/>
  <c r="O132" i="19"/>
  <c r="O131" i="19"/>
  <c r="O130" i="19"/>
  <c r="O129" i="19"/>
  <c r="O128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O126" i="19"/>
  <c r="O125" i="19"/>
  <c r="L124" i="19"/>
  <c r="N123" i="19"/>
  <c r="M123" i="19"/>
  <c r="K123" i="19"/>
  <c r="I123" i="19"/>
  <c r="H123" i="19"/>
  <c r="E123" i="19"/>
  <c r="D123" i="19"/>
  <c r="C123" i="19"/>
  <c r="D122" i="19"/>
  <c r="C122" i="19"/>
  <c r="O122" i="19" s="1"/>
  <c r="D121" i="19"/>
  <c r="C121" i="19"/>
  <c r="O121" i="19" s="1"/>
  <c r="L120" i="19"/>
  <c r="D120" i="19"/>
  <c r="C120" i="19"/>
  <c r="L119" i="19"/>
  <c r="D119" i="19"/>
  <c r="D118" i="19"/>
  <c r="D117" i="19"/>
  <c r="D116" i="19"/>
  <c r="O113" i="19"/>
  <c r="G113" i="19"/>
  <c r="G111" i="19" s="1"/>
  <c r="O112" i="19"/>
  <c r="N111" i="19"/>
  <c r="M111" i="19"/>
  <c r="L111" i="19"/>
  <c r="K111" i="19"/>
  <c r="J111" i="19"/>
  <c r="I111" i="19"/>
  <c r="H111" i="19"/>
  <c r="F111" i="19"/>
  <c r="E111" i="19"/>
  <c r="D111" i="19"/>
  <c r="C111" i="19"/>
  <c r="O110" i="19"/>
  <c r="O109" i="19"/>
  <c r="N108" i="19"/>
  <c r="M108" i="19"/>
  <c r="L108" i="19"/>
  <c r="K108" i="19"/>
  <c r="J108" i="19"/>
  <c r="I108" i="19"/>
  <c r="H108" i="19"/>
  <c r="G108" i="19"/>
  <c r="F108" i="19"/>
  <c r="E108" i="19"/>
  <c r="D108" i="19"/>
  <c r="C108" i="19"/>
  <c r="L97" i="19"/>
  <c r="O104" i="19"/>
  <c r="O103" i="19"/>
  <c r="O101" i="19"/>
  <c r="O100" i="19"/>
  <c r="O99" i="19"/>
  <c r="O98" i="19"/>
  <c r="N97" i="19"/>
  <c r="M97" i="19"/>
  <c r="K97" i="19"/>
  <c r="J97" i="19"/>
  <c r="H97" i="19"/>
  <c r="G97" i="19"/>
  <c r="E97" i="19"/>
  <c r="D97" i="19"/>
  <c r="L96" i="19"/>
  <c r="O96" i="19" s="1"/>
  <c r="L94" i="19"/>
  <c r="O94" i="19" s="1"/>
  <c r="L93" i="19"/>
  <c r="O93" i="19" s="1"/>
  <c r="F92" i="19"/>
  <c r="O91" i="19"/>
  <c r="N90" i="19"/>
  <c r="M90" i="19"/>
  <c r="K90" i="19"/>
  <c r="I90" i="19"/>
  <c r="H90" i="19"/>
  <c r="G90" i="19"/>
  <c r="F90" i="19"/>
  <c r="E90" i="19"/>
  <c r="D90" i="19"/>
  <c r="C90" i="19"/>
  <c r="O87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6" i="19"/>
  <c r="O65" i="19"/>
  <c r="O64" i="19"/>
  <c r="O63" i="19"/>
  <c r="O61" i="19"/>
  <c r="C60" i="19"/>
  <c r="O60" i="19" s="1"/>
  <c r="C59" i="19"/>
  <c r="O59" i="19" s="1"/>
  <c r="O58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O29" i="19"/>
  <c r="O28" i="19"/>
  <c r="O27" i="19"/>
  <c r="O26" i="19"/>
  <c r="L25" i="19"/>
  <c r="O25" i="19" s="1"/>
  <c r="L24" i="19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J14" i="19"/>
  <c r="I14" i="19"/>
  <c r="H14" i="19"/>
  <c r="E14" i="19"/>
  <c r="O13" i="19"/>
  <c r="O116" i="19"/>
  <c r="C156" i="19"/>
  <c r="O172" i="19"/>
  <c r="J48" i="19" l="1"/>
  <c r="C57" i="19"/>
  <c r="L57" i="19"/>
  <c r="L56" i="19" s="1"/>
  <c r="F57" i="19"/>
  <c r="F56" i="19" s="1"/>
  <c r="C20" i="18"/>
  <c r="C174" i="19"/>
  <c r="N48" i="19"/>
  <c r="K12" i="19"/>
  <c r="E89" i="19"/>
  <c r="D162" i="19"/>
  <c r="O184" i="19"/>
  <c r="C31" i="15"/>
  <c r="C57" i="15" s="1"/>
  <c r="C205" i="19"/>
  <c r="C204" i="19" s="1"/>
  <c r="O169" i="19"/>
  <c r="K89" i="19"/>
  <c r="H115" i="19"/>
  <c r="O149" i="19"/>
  <c r="C148" i="19"/>
  <c r="O176" i="19"/>
  <c r="M12" i="19"/>
  <c r="O127" i="19"/>
  <c r="G204" i="19"/>
  <c r="O206" i="19"/>
  <c r="O205" i="19" s="1"/>
  <c r="F205" i="19"/>
  <c r="F204" i="19" s="1"/>
  <c r="C48" i="19"/>
  <c r="O154" i="19"/>
  <c r="O102" i="19"/>
  <c r="M115" i="19"/>
  <c r="F115" i="19"/>
  <c r="J115" i="19"/>
  <c r="C140" i="19"/>
  <c r="G14" i="19"/>
  <c r="G12" i="19" s="1"/>
  <c r="C196" i="19"/>
  <c r="O111" i="19"/>
  <c r="I115" i="19"/>
  <c r="M146" i="19"/>
  <c r="O171" i="19"/>
  <c r="O42" i="19"/>
  <c r="D48" i="19"/>
  <c r="H48" i="19"/>
  <c r="L48" i="19"/>
  <c r="C89" i="19"/>
  <c r="G89" i="19"/>
  <c r="O168" i="19"/>
  <c r="D12" i="19"/>
  <c r="O30" i="19"/>
  <c r="F48" i="19"/>
  <c r="G48" i="19"/>
  <c r="H89" i="19"/>
  <c r="J89" i="19"/>
  <c r="O175" i="19"/>
  <c r="I146" i="19"/>
  <c r="E48" i="19"/>
  <c r="I48" i="19"/>
  <c r="M48" i="19"/>
  <c r="O108" i="19"/>
  <c r="M89" i="19"/>
  <c r="F183" i="19"/>
  <c r="O183" i="19" s="1"/>
  <c r="N89" i="19"/>
  <c r="O118" i="19"/>
  <c r="E115" i="19"/>
  <c r="C162" i="19"/>
  <c r="O162" i="19" s="1"/>
  <c r="O140" i="19"/>
  <c r="O49" i="19"/>
  <c r="H146" i="19"/>
  <c r="N146" i="19"/>
  <c r="O174" i="19"/>
  <c r="N12" i="19"/>
  <c r="K115" i="19"/>
  <c r="O249" i="19"/>
  <c r="O156" i="19"/>
  <c r="G146" i="19"/>
  <c r="J146" i="19"/>
  <c r="O163" i="19"/>
  <c r="O196" i="19"/>
  <c r="D115" i="19"/>
  <c r="O152" i="19"/>
  <c r="C41" i="19"/>
  <c r="O41" i="19" s="1"/>
  <c r="I89" i="19"/>
  <c r="O117" i="19"/>
  <c r="D204" i="19"/>
  <c r="K48" i="19"/>
  <c r="E12" i="19"/>
  <c r="F14" i="19"/>
  <c r="F12" i="19" s="1"/>
  <c r="O105" i="19"/>
  <c r="H12" i="19"/>
  <c r="O120" i="19"/>
  <c r="N115" i="19"/>
  <c r="G115" i="19"/>
  <c r="K146" i="19"/>
  <c r="C151" i="19"/>
  <c r="O151" i="19" s="1"/>
  <c r="E146" i="19"/>
  <c r="C37" i="20"/>
  <c r="O119" i="19"/>
  <c r="C115" i="19"/>
  <c r="O124" i="19"/>
  <c r="L123" i="19"/>
  <c r="C251" i="19"/>
  <c r="O251" i="19" s="1"/>
  <c r="O253" i="19"/>
  <c r="C14" i="19"/>
  <c r="O24" i="19"/>
  <c r="O34" i="19"/>
  <c r="C33" i="19"/>
  <c r="O33" i="19" s="1"/>
  <c r="O37" i="19"/>
  <c r="C36" i="19"/>
  <c r="O36" i="19" s="1"/>
  <c r="O92" i="19"/>
  <c r="F89" i="19"/>
  <c r="C11" i="18"/>
  <c r="I12" i="19"/>
  <c r="L14" i="19"/>
  <c r="L12" i="19" s="1"/>
  <c r="O166" i="19"/>
  <c r="C165" i="19"/>
  <c r="O165" i="19" s="1"/>
  <c r="O178" i="19"/>
  <c r="C177" i="19"/>
  <c r="O177" i="19" s="1"/>
  <c r="J12" i="19"/>
  <c r="I72" i="19"/>
  <c r="O75" i="19"/>
  <c r="O72" i="19" s="1"/>
  <c r="D89" i="19"/>
  <c r="L146" i="19"/>
  <c r="D165" i="19"/>
  <c r="O180" i="19"/>
  <c r="O97" i="19"/>
  <c r="O147" i="19"/>
  <c r="L90" i="19"/>
  <c r="C159" i="19"/>
  <c r="O159" i="19" s="1"/>
  <c r="D146" i="19" l="1"/>
  <c r="I57" i="19"/>
  <c r="I56" i="19" s="1"/>
  <c r="I250" i="19" s="1"/>
  <c r="O204" i="19"/>
  <c r="O48" i="19"/>
  <c r="G250" i="19"/>
  <c r="H250" i="19"/>
  <c r="J250" i="19"/>
  <c r="K250" i="19"/>
  <c r="F146" i="19"/>
  <c r="F250" i="19" s="1"/>
  <c r="N250" i="19"/>
  <c r="M250" i="19"/>
  <c r="E250" i="19"/>
  <c r="D250" i="19"/>
  <c r="O148" i="19"/>
  <c r="C146" i="19"/>
  <c r="C56" i="19"/>
  <c r="O57" i="19"/>
  <c r="O14" i="19"/>
  <c r="C12" i="19"/>
  <c r="L115" i="19"/>
  <c r="O115" i="19" s="1"/>
  <c r="O123" i="19"/>
  <c r="L89" i="19"/>
  <c r="O89" i="19" s="1"/>
  <c r="O90" i="19"/>
  <c r="O56" i="19" l="1"/>
  <c r="O146" i="19"/>
  <c r="O12" i="19"/>
  <c r="C250" i="19"/>
  <c r="L250" i="19"/>
  <c r="O250" i="19" l="1"/>
</calcChain>
</file>

<file path=xl/sharedStrings.xml><?xml version="1.0" encoding="utf-8"?>
<sst xmlns="http://schemas.openxmlformats.org/spreadsheetml/2006/main" count="695" uniqueCount="589">
  <si>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</si>
  <si>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</si>
  <si>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</si>
  <si>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</si>
  <si>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</si>
  <si>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</si>
  <si>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</si>
  <si>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</si>
  <si>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</si>
  <si>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</si>
  <si>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</si>
  <si>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</si>
  <si>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</si>
  <si>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</si>
  <si>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</si>
  <si>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</si>
  <si>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</si>
  <si>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</si>
  <si>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</si>
  <si>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</si>
  <si>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</si>
  <si>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</si>
  <si>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</si>
  <si>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</si>
  <si>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</si>
  <si>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</si>
  <si>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</si>
  <si>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</si>
  <si>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</si>
  <si>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</si>
  <si>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</si>
  <si>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</si>
  <si>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</si>
  <si>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</si>
  <si>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</si>
  <si>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</si>
  <si>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</si>
  <si>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</si>
  <si>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</si>
  <si>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</si>
  <si>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</si>
  <si>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</si>
  <si>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</si>
  <si>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</si>
  <si>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</si>
  <si>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</si>
  <si>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</si>
  <si>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</si>
  <si>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</si>
  <si>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</si>
  <si>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</si>
  <si>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</si>
  <si>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</si>
  <si>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</si>
  <si>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</si>
  <si>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</si>
  <si>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</si>
  <si>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</si>
  <si>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</si>
  <si>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</si>
  <si>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</si>
  <si>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</si>
  <si>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</si>
  <si>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</si>
  <si>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</si>
  <si>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</si>
  <si>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</si>
  <si>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</si>
  <si>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</si>
  <si>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</si>
  <si>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</si>
  <si>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</si>
  <si>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</si>
  <si>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</si>
  <si>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</si>
  <si>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</si>
  <si>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</si>
  <si>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</si>
  <si>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</si>
  <si>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</si>
  <si>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</si>
  <si>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</si>
  <si>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</si>
  <si>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</si>
  <si>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</si>
  <si>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</si>
  <si>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</si>
  <si>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</si>
  <si>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</si>
  <si>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</si>
  <si>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</si>
  <si>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</si>
  <si>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</si>
  <si>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</si>
  <si>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</si>
  <si>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</si>
  <si>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</si>
  <si>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</si>
  <si>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</si>
  <si>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</si>
  <si>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</si>
  <si>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</si>
  <si>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</si>
  <si>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</si>
  <si>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</si>
  <si>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</si>
  <si>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</si>
  <si>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</si>
  <si>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</si>
  <si>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</si>
  <si>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</si>
  <si>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</si>
  <si>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</si>
  <si>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</si>
  <si>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</si>
  <si>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</si>
  <si>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</si>
  <si>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</si>
  <si>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</si>
  <si>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</si>
  <si>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</si>
  <si>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</si>
  <si>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</si>
  <si>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</si>
  <si>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</si>
  <si>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</si>
  <si>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</si>
  <si>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</si>
  <si>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</si>
  <si>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</si>
  <si>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</si>
  <si>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</si>
  <si>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</si>
  <si>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</si>
  <si>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</si>
  <si>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</si>
  <si>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</si>
  <si>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</si>
  <si>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</si>
  <si>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</si>
  <si>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</si>
  <si>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</si>
  <si>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</si>
  <si>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</si>
  <si>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</si>
  <si>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</si>
  <si>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</si>
  <si>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</si>
  <si>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</si>
  <si>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</si>
  <si>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</si>
  <si>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</si>
  <si>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</si>
  <si>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</si>
  <si>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</si>
  <si>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</si>
  <si>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</si>
  <si>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</si>
  <si>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</si>
  <si>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</si>
  <si>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</si>
  <si>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</si>
  <si>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</si>
  <si>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</si>
  <si>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</si>
  <si>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</si>
  <si>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</si>
  <si>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</si>
  <si>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</si>
  <si>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</si>
  <si>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</si>
  <si>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</si>
  <si>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</si>
  <si>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</si>
  <si>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</si>
  <si>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</si>
  <si>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</si>
  <si>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</si>
  <si>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</si>
  <si>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</si>
  <si>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</si>
  <si>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</si>
  <si>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</si>
  <si>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</si>
  <si>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</si>
  <si>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</si>
  <si>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</si>
  <si>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</si>
  <si>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</si>
  <si>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</si>
  <si>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</si>
  <si>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</si>
  <si>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</si>
  <si>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</si>
  <si>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</si>
  <si>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</si>
  <si>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</si>
  <si>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</si>
  <si>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</si>
  <si>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</si>
  <si>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</si>
  <si>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</si>
  <si>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</si>
  <si>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</si>
  <si>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</si>
  <si>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</si>
  <si>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</si>
  <si>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</si>
  <si>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</si>
  <si>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</si>
  <si>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</si>
  <si>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</si>
  <si>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</si>
  <si>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</si>
  <si>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</si>
  <si>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</si>
  <si>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</si>
  <si>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</si>
  <si>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</si>
  <si>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</si>
  <si>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</si>
  <si>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</si>
  <si>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</si>
  <si>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</si>
  <si>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</si>
  <si>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</si>
  <si>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</si>
  <si>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</si>
  <si>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</si>
  <si>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</si>
  <si>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</si>
  <si>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</si>
  <si>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</si>
  <si>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</si>
  <si>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</si>
  <si>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</si>
  <si>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</si>
  <si>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</si>
  <si>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</si>
  <si>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</si>
  <si>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</si>
  <si>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</si>
  <si>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</si>
  <si>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</si>
  <si>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</si>
  <si>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</si>
  <si>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</si>
  <si>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</si>
  <si>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</si>
  <si>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</si>
  <si>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</si>
  <si>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</si>
  <si>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</si>
  <si>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</si>
  <si>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</si>
  <si>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</si>
  <si>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</si>
  <si>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</si>
  <si>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</si>
  <si>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</si>
  <si>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</si>
  <si>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</si>
  <si>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</si>
  <si>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</si>
  <si>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</si>
  <si>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</si>
  <si>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</si>
  <si>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</si>
  <si>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</si>
  <si>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</si>
  <si>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</si>
  <si>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</si>
  <si>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</si>
  <si>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</si>
  <si>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</si>
  <si>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</si>
  <si>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</si>
  <si>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</si>
  <si>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</si>
  <si>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</si>
  <si>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</si>
  <si>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</si>
  <si>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</si>
  <si>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</si>
  <si>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</si>
  <si>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</si>
  <si>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</si>
  <si>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</si>
  <si>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</si>
  <si>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</si>
  <si>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</si>
  <si>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</si>
  <si>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</si>
  <si>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</si>
  <si>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</si>
  <si>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</si>
  <si>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</si>
  <si>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</si>
  <si>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</si>
  <si>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</si>
  <si>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</si>
  <si>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</si>
  <si>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</si>
  <si>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</si>
  <si>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</si>
  <si>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</si>
  <si>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</si>
  <si>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</si>
  <si>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</si>
  <si>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</si>
  <si>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</si>
  <si>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</si>
  <si>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</si>
  <si>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</si>
  <si>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</si>
  <si>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</si>
  <si>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</si>
  <si>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</si>
  <si>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</si>
  <si>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</si>
  <si>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</si>
  <si>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</si>
  <si>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</si>
  <si>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</si>
  <si>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</si>
  <si>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</si>
  <si>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</si>
  <si>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</si>
  <si>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</si>
  <si>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</si>
  <si>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</si>
  <si>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</si>
  <si>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</si>
  <si>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</si>
  <si>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</si>
  <si>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</si>
  <si>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</si>
  <si>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</si>
  <si>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</si>
  <si>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</si>
  <si>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</si>
  <si>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</si>
  <si>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</si>
  <si>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</si>
  <si>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</si>
  <si>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</si>
  <si>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</si>
  <si>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</si>
  <si>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</si>
  <si>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</si>
  <si>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</si>
  <si>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</si>
  <si>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</si>
  <si>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</si>
  <si>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</si>
  <si>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</si>
  <si>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</si>
  <si>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</si>
  <si>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</si>
  <si>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</si>
  <si>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</si>
  <si>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</si>
  <si>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</si>
  <si>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</si>
  <si>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</si>
  <si>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</si>
  <si>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</si>
  <si>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</si>
  <si>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</si>
  <si>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</si>
  <si>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</si>
  <si>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</si>
  <si>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</si>
  <si>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</si>
  <si>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</si>
  <si>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</si>
  <si>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</si>
  <si>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</si>
  <si>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</si>
  <si>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</si>
  <si>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</si>
  <si>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</si>
  <si>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</si>
  <si>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</si>
  <si>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</si>
  <si>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</si>
  <si>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</si>
  <si>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</si>
  <si>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</si>
  <si>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</si>
  <si>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</si>
  <si>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</si>
  <si>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</si>
  <si>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</si>
  <si>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</si>
  <si>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</si>
  <si>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</si>
  <si>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</si>
  <si>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</si>
  <si>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</si>
  <si>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</si>
  <si>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</si>
  <si>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</si>
  <si>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</si>
  <si>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</si>
  <si>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</si>
  <si>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</si>
  <si>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</si>
  <si>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</si>
  <si>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</si>
  <si>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</si>
  <si>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</si>
  <si>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</si>
  <si>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</si>
  <si>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</si>
  <si>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</si>
  <si>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</si>
  <si>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</si>
  <si>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</si>
  <si>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</si>
  <si>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</si>
  <si>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</si>
  <si>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</si>
  <si>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</si>
  <si>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</si>
  <si>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</si>
  <si>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</si>
  <si>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</si>
  <si>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</si>
  <si>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</si>
  <si>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</si>
  <si>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</si>
  <si>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</si>
  <si>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</si>
  <si>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</si>
  <si>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</si>
  <si>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</si>
  <si>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</si>
  <si>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</si>
  <si>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</si>
  <si>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</si>
  <si>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</si>
  <si>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</si>
  <si>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</si>
  <si>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</si>
  <si>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</si>
  <si>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</si>
  <si>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</si>
  <si>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</si>
  <si>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</si>
  <si>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</si>
  <si>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</si>
  <si>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</si>
  <si>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</si>
  <si>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</si>
  <si>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</si>
  <si>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</si>
  <si>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</si>
  <si>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</si>
  <si>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</si>
  <si>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</si>
  <si>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</si>
  <si>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</si>
  <si>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</si>
  <si>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</si>
  <si>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</si>
  <si>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</si>
  <si>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</si>
  <si>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</si>
  <si>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</si>
  <si>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</si>
  <si>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</si>
  <si>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</si>
  <si>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</si>
  <si>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</si>
  <si>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</si>
  <si>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</si>
  <si>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</si>
  <si>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</si>
  <si>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</si>
  <si>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</si>
  <si>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</si>
  <si>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</si>
  <si>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</si>
  <si>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</si>
  <si>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</si>
  <si>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</si>
  <si>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</si>
  <si>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</si>
  <si>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valstybės biudžeto lėšos mokymo reikmėms finansuoti</t>
  </si>
  <si>
    <t>tikslinės Europos Sąjungos finansinės paramos lėšos</t>
  </si>
  <si>
    <t>kitos tikslinės valstybės biudžeto lėšos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</si>
  <si>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</si>
  <si>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</si>
  <si>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</si>
  <si>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</si>
  <si>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</si>
  <si>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</si>
  <si>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</si>
  <si>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</si>
  <si>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</si>
  <si>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</si>
  <si>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</si>
  <si>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</si>
  <si>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</si>
  <si>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</si>
  <si>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</si>
  <si>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</si>
  <si>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</si>
  <si>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</si>
  <si>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</si>
  <si>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</si>
  <si>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</si>
  <si>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</si>
  <si>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</si>
  <si>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</si>
  <si>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</si>
  <si>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</si>
  <si>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</si>
  <si>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</si>
  <si>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</si>
  <si>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</si>
  <si>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</si>
  <si>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</si>
  <si>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</si>
  <si>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</si>
  <si>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</si>
  <si>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</si>
  <si>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</si>
  <si>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</si>
  <si>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</si>
  <si>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</si>
  <si>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</si>
  <si>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</si>
  <si>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</si>
  <si>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</si>
  <si>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</si>
  <si>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</si>
  <si>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</si>
  <si>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</si>
  <si>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</si>
  <si>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</si>
  <si>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</si>
  <si>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</si>
  <si>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</si>
  <si>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</si>
  <si>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</si>
  <si>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</si>
  <si>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</si>
  <si>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</si>
  <si>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</si>
  <si>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</si>
  <si>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</si>
  <si>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</si>
  <si>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</si>
  <si>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</si>
  <si>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</si>
  <si>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</si>
  <si>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</si>
  <si>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</si>
  <si>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</si>
  <si>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</si>
  <si>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</si>
  <si>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</si>
  <si>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</si>
  <si>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</si>
  <si>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</si>
  <si>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</si>
  <si>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</si>
  <si>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</si>
  <si>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</si>
  <si>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</si>
  <si>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</si>
  <si>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</si>
  <si>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</si>
  <si>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</si>
  <si>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</si>
  <si>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</si>
  <si>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 xml:space="preserve">                                                             (2024 m. lapkričio 28 d. sprendimo Nr. T2-</t>
  </si>
  <si>
    <t xml:space="preserve">                                        (2024 m. lapkričio 28 d. sprendimo Nr. T2-</t>
  </si>
  <si>
    <t xml:space="preserve">                                                               (2024 m. lapkričio 28 d. sprendimo Nr. T2-</t>
  </si>
  <si>
    <t>11.10</t>
  </si>
  <si>
    <t>projektui "Skatinamųjų priemonių investuoti sudarymas Tauragė+ FZ ir pramoninės teritorijos infrastruktūros plėtra Jurbarko mieste"</t>
  </si>
  <si>
    <t>projektui "Mobilios komandos aprūpinimas įranga ir transporto priemone"</t>
  </si>
  <si>
    <t>8.28.</t>
  </si>
  <si>
    <t xml:space="preserve">                          2024 m. sausio 31 d. sprendimo Nr. T2-1</t>
  </si>
  <si>
    <t xml:space="preserve">                          Jurbarko rajono savivaldybės tarybos</t>
  </si>
  <si>
    <t xml:space="preserve">                          3 priedas</t>
  </si>
  <si>
    <t xml:space="preserve">                          (2024 m. lapkričio 28 d. sprendimo Nr. T2-320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</si>
</sst>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name val="Arial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16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3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4" fillId="0" borderId="1" xfId="0" applyFont="1" applyBorder="1"/>
    <xf numFmtId="16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4" fillId="0" borderId="6" xfId="0" applyFont="1" applyBorder="1"/>
    <xf numFmtId="0" fontId="3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wrapText="1"/>
    </xf>
    <xf numFmtId="16" fontId="8" fillId="0" borderId="1" xfId="0" applyNumberFormat="1" applyFont="1" applyBorder="1" applyAlignment="1">
      <alignment horizontal="right" wrapText="1"/>
    </xf>
    <xf numFmtId="17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1" fillId="0" borderId="8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8"/>
  <sheetViews>
    <sheetView topLeftCell="A4" workbookViewId="0">
      <selection activeCell="E7" sqref="E1:F1048576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16" t="s">
        <v>207</v>
      </c>
      <c r="C1" s="116"/>
    </row>
    <row r="2" spans="1:3" ht="15.6" x14ac:dyDescent="0.3">
      <c r="B2" s="116" t="s">
        <v>484</v>
      </c>
      <c r="C2" s="116"/>
    </row>
    <row r="3" spans="1:3" ht="15.6" x14ac:dyDescent="0.3">
      <c r="B3" s="16" t="s">
        <v>578</v>
      </c>
      <c r="C3" s="16"/>
    </row>
    <row r="4" spans="1:3" ht="15.6" x14ac:dyDescent="0.3">
      <c r="B4" s="16" t="s">
        <v>376</v>
      </c>
      <c r="C4" s="16"/>
    </row>
    <row r="5" spans="1:3" ht="15.6" x14ac:dyDescent="0.3">
      <c r="B5" s="16" t="s">
        <v>430</v>
      </c>
      <c r="C5" s="17"/>
    </row>
    <row r="6" spans="1:3" ht="21.75" customHeight="1" x14ac:dyDescent="0.3">
      <c r="B6" s="16"/>
      <c r="C6" s="17"/>
    </row>
    <row r="7" spans="1:3" ht="15.6" x14ac:dyDescent="0.3">
      <c r="A7" s="117" t="s">
        <v>495</v>
      </c>
      <c r="B7" s="117"/>
      <c r="C7" s="117"/>
    </row>
    <row r="8" spans="1:3" ht="15" customHeight="1" x14ac:dyDescent="0.25"/>
    <row r="9" spans="1:3" ht="33.75" customHeight="1" x14ac:dyDescent="0.25">
      <c r="A9" s="18" t="s">
        <v>35</v>
      </c>
      <c r="B9" s="18" t="s">
        <v>36</v>
      </c>
      <c r="C9" s="18" t="s">
        <v>208</v>
      </c>
    </row>
    <row r="10" spans="1:3" ht="18.75" customHeight="1" x14ac:dyDescent="0.25">
      <c r="A10" s="18" t="s">
        <v>48</v>
      </c>
      <c r="B10" s="19" t="s">
        <v>431</v>
      </c>
      <c r="C10" s="20">
        <f>SUM(C11:C19)</f>
        <v>28281600</v>
      </c>
    </row>
    <row r="11" spans="1:3" ht="17.25" customHeight="1" x14ac:dyDescent="0.25">
      <c r="A11" s="21" t="s">
        <v>209</v>
      </c>
      <c r="B11" s="22" t="s">
        <v>210</v>
      </c>
      <c r="C11" s="23">
        <f>26144000+40000+650000+36000+12000+33227-27</f>
        <v>26915200</v>
      </c>
    </row>
    <row r="12" spans="1:3" ht="17.25" customHeight="1" x14ac:dyDescent="0.25">
      <c r="A12" s="21" t="s">
        <v>211</v>
      </c>
      <c r="B12" s="22" t="s">
        <v>212</v>
      </c>
      <c r="C12" s="23">
        <v>610000</v>
      </c>
    </row>
    <row r="13" spans="1:3" ht="17.25" customHeight="1" x14ac:dyDescent="0.25">
      <c r="A13" s="21" t="s">
        <v>213</v>
      </c>
      <c r="B13" s="22" t="s">
        <v>214</v>
      </c>
      <c r="C13" s="23">
        <f>430000+79000</f>
        <v>509000</v>
      </c>
    </row>
    <row r="14" spans="1:3" ht="17.25" customHeight="1" x14ac:dyDescent="0.25">
      <c r="A14" s="21" t="s">
        <v>215</v>
      </c>
      <c r="B14" s="22" t="s">
        <v>252</v>
      </c>
      <c r="C14" s="23">
        <f>10000+4450</f>
        <v>14450</v>
      </c>
    </row>
    <row r="15" spans="1:3" ht="30.75" customHeight="1" x14ac:dyDescent="0.25">
      <c r="A15" s="21" t="s">
        <v>216</v>
      </c>
      <c r="B15" s="22" t="s">
        <v>218</v>
      </c>
      <c r="C15" s="23">
        <v>100000</v>
      </c>
    </row>
    <row r="16" spans="1:3" ht="17.25" customHeight="1" x14ac:dyDescent="0.3">
      <c r="A16" s="21" t="s">
        <v>217</v>
      </c>
      <c r="B16" s="22" t="s">
        <v>220</v>
      </c>
      <c r="C16" s="24">
        <v>43000</v>
      </c>
    </row>
    <row r="17" spans="1:3" ht="17.25" customHeight="1" x14ac:dyDescent="0.25">
      <c r="A17" s="21" t="s">
        <v>219</v>
      </c>
      <c r="B17" s="25" t="s">
        <v>253</v>
      </c>
      <c r="C17" s="112">
        <f>15000+13200</f>
        <v>28200</v>
      </c>
    </row>
    <row r="18" spans="1:3" ht="17.25" customHeight="1" x14ac:dyDescent="0.25">
      <c r="A18" s="21" t="s">
        <v>221</v>
      </c>
      <c r="B18" s="22" t="s">
        <v>222</v>
      </c>
      <c r="C18" s="23">
        <f>7000+2050</f>
        <v>9050</v>
      </c>
    </row>
    <row r="19" spans="1:3" ht="17.25" customHeight="1" x14ac:dyDescent="0.25">
      <c r="A19" s="21" t="s">
        <v>496</v>
      </c>
      <c r="B19" s="22" t="s">
        <v>577</v>
      </c>
      <c r="C19" s="23">
        <f>50000+2700</f>
        <v>52700</v>
      </c>
    </row>
    <row r="20" spans="1:3" ht="17.25" customHeight="1" x14ac:dyDescent="0.25">
      <c r="A20" s="18" t="s">
        <v>47</v>
      </c>
      <c r="B20" s="19" t="s">
        <v>223</v>
      </c>
      <c r="C20" s="20">
        <f>SUM(C21:C30)</f>
        <v>2339083</v>
      </c>
    </row>
    <row r="21" spans="1:3" ht="17.25" customHeight="1" x14ac:dyDescent="0.25">
      <c r="A21" s="21" t="s">
        <v>41</v>
      </c>
      <c r="B21" s="22" t="s">
        <v>224</v>
      </c>
      <c r="C21" s="113">
        <f>794976+110000</f>
        <v>904976</v>
      </c>
    </row>
    <row r="22" spans="1:3" ht="17.25" customHeight="1" x14ac:dyDescent="0.3">
      <c r="A22" s="21" t="s">
        <v>42</v>
      </c>
      <c r="B22" s="22" t="s">
        <v>225</v>
      </c>
      <c r="C22" s="24">
        <f>12000+500</f>
        <v>12500</v>
      </c>
    </row>
    <row r="23" spans="1:3" ht="17.25" customHeight="1" x14ac:dyDescent="0.25">
      <c r="A23" s="21" t="s">
        <v>43</v>
      </c>
      <c r="B23" s="22" t="s">
        <v>226</v>
      </c>
      <c r="C23" s="23">
        <v>50000</v>
      </c>
    </row>
    <row r="24" spans="1:3" ht="17.25" customHeight="1" x14ac:dyDescent="0.25">
      <c r="A24" s="21" t="s">
        <v>44</v>
      </c>
      <c r="B24" s="22" t="s">
        <v>227</v>
      </c>
      <c r="C24" s="23">
        <v>55000</v>
      </c>
    </row>
    <row r="25" spans="1:3" ht="17.25" customHeight="1" x14ac:dyDescent="0.25">
      <c r="A25" s="21" t="s">
        <v>45</v>
      </c>
      <c r="B25" s="22" t="s">
        <v>228</v>
      </c>
      <c r="C25" s="23">
        <v>50000</v>
      </c>
    </row>
    <row r="26" spans="1:3" ht="17.25" customHeight="1" x14ac:dyDescent="0.25">
      <c r="A26" s="21" t="s">
        <v>46</v>
      </c>
      <c r="B26" s="22" t="s">
        <v>229</v>
      </c>
      <c r="C26" s="23">
        <v>70000</v>
      </c>
    </row>
    <row r="27" spans="1:3" ht="17.25" customHeight="1" x14ac:dyDescent="0.25">
      <c r="A27" s="21" t="s">
        <v>61</v>
      </c>
      <c r="B27" s="22" t="s">
        <v>254</v>
      </c>
      <c r="C27" s="113">
        <f>145494+13000+1000+621+2000+3000-7300</f>
        <v>157815</v>
      </c>
    </row>
    <row r="28" spans="1:3" ht="17.25" customHeight="1" x14ac:dyDescent="0.25">
      <c r="A28" s="21" t="s">
        <v>62</v>
      </c>
      <c r="B28" s="22" t="s">
        <v>255</v>
      </c>
      <c r="C28" s="113">
        <f>133956+500+60310-3770+8000-6420</f>
        <v>192576</v>
      </c>
    </row>
    <row r="29" spans="1:3" ht="17.25" customHeight="1" x14ac:dyDescent="0.25">
      <c r="A29" s="21" t="s">
        <v>63</v>
      </c>
      <c r="B29" s="84" t="s">
        <v>230</v>
      </c>
      <c r="C29" s="113">
        <f>911824+20460-90580-37588</f>
        <v>804116</v>
      </c>
    </row>
    <row r="30" spans="1:3" ht="17.25" customHeight="1" x14ac:dyDescent="0.25">
      <c r="A30" s="21" t="s">
        <v>575</v>
      </c>
      <c r="B30" s="84" t="s">
        <v>576</v>
      </c>
      <c r="C30" s="23">
        <v>42100</v>
      </c>
    </row>
    <row r="31" spans="1:3" ht="17.25" customHeight="1" x14ac:dyDescent="0.25">
      <c r="A31" s="18" t="s">
        <v>49</v>
      </c>
      <c r="B31" s="19" t="s">
        <v>256</v>
      </c>
      <c r="C31" s="20">
        <f>SUM(C32:C50)</f>
        <v>21240056</v>
      </c>
    </row>
    <row r="32" spans="1:3" ht="17.25" customHeight="1" x14ac:dyDescent="0.25">
      <c r="A32" s="21" t="s">
        <v>66</v>
      </c>
      <c r="B32" s="22" t="s">
        <v>231</v>
      </c>
      <c r="C32" s="113">
        <f>4213604-9600+143000+1700-39000-19200+2000+25500</f>
        <v>4318004</v>
      </c>
    </row>
    <row r="33" spans="1:3" ht="17.25" customHeight="1" x14ac:dyDescent="0.25">
      <c r="A33" s="21" t="s">
        <v>232</v>
      </c>
      <c r="B33" s="22" t="s">
        <v>347</v>
      </c>
      <c r="C33" s="23">
        <f>10538400-76400+170900+196000</f>
        <v>10828900</v>
      </c>
    </row>
    <row r="34" spans="1:3" ht="17.25" customHeight="1" x14ac:dyDescent="0.25">
      <c r="A34" s="21" t="s">
        <v>233</v>
      </c>
      <c r="B34" s="22" t="s">
        <v>235</v>
      </c>
      <c r="C34" s="23">
        <v>16000</v>
      </c>
    </row>
    <row r="35" spans="1:3" ht="17.25" customHeight="1" x14ac:dyDescent="0.25">
      <c r="A35" s="21" t="s">
        <v>234</v>
      </c>
      <c r="B35" s="22" t="s">
        <v>497</v>
      </c>
      <c r="C35" s="23">
        <v>142200</v>
      </c>
    </row>
    <row r="36" spans="1:3" ht="17.25" customHeight="1" x14ac:dyDescent="0.25">
      <c r="A36" s="21" t="s">
        <v>236</v>
      </c>
      <c r="B36" s="22" t="s">
        <v>377</v>
      </c>
      <c r="C36" s="23">
        <f>110191+80661</f>
        <v>190852</v>
      </c>
    </row>
    <row r="37" spans="1:3" ht="17.25" customHeight="1" x14ac:dyDescent="0.25">
      <c r="A37" s="21" t="s">
        <v>237</v>
      </c>
      <c r="B37" s="22" t="s">
        <v>432</v>
      </c>
      <c r="C37" s="113">
        <f>232300+13400+13100</f>
        <v>258800</v>
      </c>
    </row>
    <row r="38" spans="1:3" ht="17.25" customHeight="1" x14ac:dyDescent="0.25">
      <c r="A38" s="21" t="s">
        <v>238</v>
      </c>
      <c r="B38" s="22" t="s">
        <v>433</v>
      </c>
      <c r="C38" s="113">
        <f>156564+1025738+267039+220153+583600+9814+13052+754727</f>
        <v>3030687</v>
      </c>
    </row>
    <row r="39" spans="1:3" ht="17.25" customHeight="1" x14ac:dyDescent="0.25">
      <c r="A39" s="21" t="s">
        <v>239</v>
      </c>
      <c r="B39" s="22" t="s">
        <v>378</v>
      </c>
      <c r="C39" s="23">
        <v>32164</v>
      </c>
    </row>
    <row r="40" spans="1:3" ht="32.25" customHeight="1" x14ac:dyDescent="0.25">
      <c r="A40" s="21" t="s">
        <v>342</v>
      </c>
      <c r="B40" s="22" t="s">
        <v>498</v>
      </c>
      <c r="C40" s="113">
        <f>155351+53170-40001-20400-2775-3901-5000-31283-5000</f>
        <v>100161</v>
      </c>
    </row>
    <row r="41" spans="1:3" ht="17.25" customHeight="1" x14ac:dyDescent="0.25">
      <c r="A41" s="21" t="s">
        <v>343</v>
      </c>
      <c r="B41" s="22" t="s">
        <v>499</v>
      </c>
      <c r="C41" s="23">
        <v>12500</v>
      </c>
    </row>
    <row r="42" spans="1:3" ht="31.5" customHeight="1" x14ac:dyDescent="0.25">
      <c r="A42" s="21" t="s">
        <v>344</v>
      </c>
      <c r="B42" s="22" t="s">
        <v>434</v>
      </c>
      <c r="C42" s="113">
        <f>6626+719+8640+27583+2042+12690+10797+2138+14091+3132+12253+2664</f>
        <v>103375</v>
      </c>
    </row>
    <row r="43" spans="1:3" ht="17.25" customHeight="1" x14ac:dyDescent="0.25">
      <c r="A43" s="21" t="s">
        <v>379</v>
      </c>
      <c r="B43" s="22" t="s">
        <v>500</v>
      </c>
      <c r="C43" s="23">
        <v>51979</v>
      </c>
    </row>
    <row r="44" spans="1:3" ht="18" customHeight="1" x14ac:dyDescent="0.25">
      <c r="A44" s="21" t="s">
        <v>380</v>
      </c>
      <c r="B44" s="22" t="s">
        <v>501</v>
      </c>
      <c r="C44" s="23">
        <f>18146+6750+102000+6300</f>
        <v>133196</v>
      </c>
    </row>
    <row r="45" spans="1:3" ht="32.25" customHeight="1" x14ac:dyDescent="0.25">
      <c r="A45" s="21" t="s">
        <v>381</v>
      </c>
      <c r="B45" s="22" t="s">
        <v>502</v>
      </c>
      <c r="C45" s="23">
        <f>31000+545+4444</f>
        <v>35989</v>
      </c>
    </row>
    <row r="46" spans="1:3" ht="18" customHeight="1" x14ac:dyDescent="0.25">
      <c r="A46" s="21" t="s">
        <v>382</v>
      </c>
      <c r="B46" s="22" t="s">
        <v>383</v>
      </c>
      <c r="C46" s="23">
        <f>4775+10825</f>
        <v>15600</v>
      </c>
    </row>
    <row r="47" spans="1:3" ht="17.25" customHeight="1" x14ac:dyDescent="0.25">
      <c r="A47" s="21" t="s">
        <v>503</v>
      </c>
      <c r="B47" s="22" t="s">
        <v>240</v>
      </c>
      <c r="C47" s="23">
        <v>1816900</v>
      </c>
    </row>
    <row r="48" spans="1:3" ht="17.25" customHeight="1" x14ac:dyDescent="0.25">
      <c r="A48" s="21" t="s">
        <v>508</v>
      </c>
      <c r="B48" s="22" t="s">
        <v>511</v>
      </c>
      <c r="C48" s="23">
        <f>163000-28000</f>
        <v>135000</v>
      </c>
    </row>
    <row r="49" spans="1:3" ht="36.75" customHeight="1" x14ac:dyDescent="0.25">
      <c r="A49" s="21" t="s">
        <v>510</v>
      </c>
      <c r="B49" s="22" t="s">
        <v>509</v>
      </c>
      <c r="C49" s="23">
        <v>6749</v>
      </c>
    </row>
    <row r="50" spans="1:3" ht="15.6" x14ac:dyDescent="0.25">
      <c r="A50" s="21" t="s">
        <v>573</v>
      </c>
      <c r="B50" s="22" t="s">
        <v>574</v>
      </c>
      <c r="C50" s="23">
        <v>11000</v>
      </c>
    </row>
    <row r="51" spans="1:3" s="4" customFormat="1" ht="18.75" customHeight="1" x14ac:dyDescent="0.25">
      <c r="A51" s="18" t="s">
        <v>50</v>
      </c>
      <c r="B51" s="19" t="s">
        <v>241</v>
      </c>
      <c r="C51" s="20">
        <f>900000+30000</f>
        <v>930000</v>
      </c>
    </row>
    <row r="52" spans="1:3" s="4" customFormat="1" ht="19.5" customHeight="1" x14ac:dyDescent="0.25">
      <c r="A52" s="18" t="s">
        <v>51</v>
      </c>
      <c r="B52" s="19" t="s">
        <v>504</v>
      </c>
      <c r="C52" s="20">
        <f>SUM(C53:C56)</f>
        <v>2314458</v>
      </c>
    </row>
    <row r="53" spans="1:3" s="4" customFormat="1" ht="17.25" customHeight="1" x14ac:dyDescent="0.25">
      <c r="A53" s="21" t="s">
        <v>39</v>
      </c>
      <c r="B53" s="22" t="s">
        <v>257</v>
      </c>
      <c r="C53" s="26">
        <v>902100</v>
      </c>
    </row>
    <row r="54" spans="1:3" s="4" customFormat="1" ht="17.25" customHeight="1" x14ac:dyDescent="0.25">
      <c r="A54" s="21" t="s">
        <v>40</v>
      </c>
      <c r="B54" s="22" t="s">
        <v>505</v>
      </c>
      <c r="C54" s="26">
        <f>872938</f>
        <v>872938</v>
      </c>
    </row>
    <row r="55" spans="1:3" s="4" customFormat="1" ht="17.25" customHeight="1" x14ac:dyDescent="0.25">
      <c r="A55" s="21" t="s">
        <v>171</v>
      </c>
      <c r="B55" s="22" t="s">
        <v>506</v>
      </c>
      <c r="C55" s="26">
        <v>425024</v>
      </c>
    </row>
    <row r="56" spans="1:3" s="4" customFormat="1" ht="17.25" customHeight="1" x14ac:dyDescent="0.25">
      <c r="A56" s="21" t="s">
        <v>258</v>
      </c>
      <c r="B56" s="22" t="s">
        <v>259</v>
      </c>
      <c r="C56" s="26">
        <v>114396</v>
      </c>
    </row>
    <row r="57" spans="1:3" s="4" customFormat="1" ht="17.25" customHeight="1" x14ac:dyDescent="0.25">
      <c r="A57" s="18"/>
      <c r="B57" s="19" t="s">
        <v>242</v>
      </c>
      <c r="C57" s="20">
        <f>C10+C20+C31+C51+C52</f>
        <v>55105197</v>
      </c>
    </row>
    <row r="58" spans="1:3" ht="42.75" customHeight="1" x14ac:dyDescent="0.25">
      <c r="B58" s="83" t="s">
        <v>507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C30"/>
  <sheetViews>
    <sheetView workbookViewId="0">
      <selection activeCell="L8" sqref="L8"/>
    </sheetView>
  </sheetViews>
  <sheetFormatPr defaultColWidth="9.109375" defaultRowHeight="13.8" x14ac:dyDescent="0.25"/>
  <cols>
    <col min="1" max="1" width="6" style="85" customWidth="1"/>
    <col min="2" max="2" width="71" style="8" customWidth="1"/>
    <col min="3" max="3" width="15" style="87" customWidth="1"/>
    <col min="4" max="4" width="4" style="8" customWidth="1"/>
    <col min="5" max="16384" width="9.109375" style="8"/>
  </cols>
  <sheetData>
    <row r="1" spans="1:3" ht="15.6" x14ac:dyDescent="0.3">
      <c r="B1" s="116" t="s">
        <v>207</v>
      </c>
      <c r="C1" s="116"/>
    </row>
    <row r="2" spans="1:3" ht="15.6" x14ac:dyDescent="0.3">
      <c r="B2" s="116" t="s">
        <v>484</v>
      </c>
      <c r="C2" s="116"/>
    </row>
    <row r="3" spans="1:3" ht="15.6" x14ac:dyDescent="0.3">
      <c r="B3" s="116" t="s">
        <v>579</v>
      </c>
      <c r="C3" s="116"/>
    </row>
    <row r="4" spans="1:3" ht="15.6" x14ac:dyDescent="0.3">
      <c r="B4" s="16" t="s">
        <v>376</v>
      </c>
      <c r="C4" s="16"/>
    </row>
    <row r="5" spans="1:3" ht="15.6" x14ac:dyDescent="0.3">
      <c r="B5" s="16" t="s">
        <v>384</v>
      </c>
      <c r="C5" s="67"/>
    </row>
    <row r="6" spans="1:3" ht="16.5" customHeight="1" x14ac:dyDescent="0.3">
      <c r="B6" s="17"/>
      <c r="C6" s="67"/>
    </row>
    <row r="7" spans="1:3" ht="18.75" customHeight="1" x14ac:dyDescent="0.25">
      <c r="B7" s="82"/>
      <c r="C7" s="86"/>
    </row>
    <row r="8" spans="1:3" ht="31.5" customHeight="1" x14ac:dyDescent="0.3">
      <c r="A8" s="118" t="s">
        <v>485</v>
      </c>
      <c r="B8" s="118"/>
      <c r="C8" s="118"/>
    </row>
    <row r="9" spans="1:3" ht="20.25" customHeight="1" x14ac:dyDescent="0.25"/>
    <row r="10" spans="1:3" ht="29.25" customHeight="1" x14ac:dyDescent="0.25">
      <c r="A10" s="18" t="s">
        <v>35</v>
      </c>
      <c r="B10" s="18" t="s">
        <v>243</v>
      </c>
      <c r="C10" s="18" t="s">
        <v>208</v>
      </c>
    </row>
    <row r="11" spans="1:3" ht="16.5" customHeight="1" x14ac:dyDescent="0.25">
      <c r="A11" s="18" t="s">
        <v>48</v>
      </c>
      <c r="B11" s="94" t="s">
        <v>244</v>
      </c>
      <c r="C11" s="20">
        <f>SUM(C12:C19)</f>
        <v>55105197</v>
      </c>
    </row>
    <row r="12" spans="1:3" ht="16.5" customHeight="1" x14ac:dyDescent="0.25">
      <c r="A12" s="21" t="s">
        <v>209</v>
      </c>
      <c r="B12" s="69" t="s">
        <v>245</v>
      </c>
      <c r="C12" s="113">
        <f>7134949+30000+270000+621-785-270000+31999+3000+200+2045-31000+3680+16000+2800+1000+1400+10000+77141+33227-100+300-7900+37600+2000-1203-98</f>
        <v>7346876</v>
      </c>
    </row>
    <row r="13" spans="1:3" ht="16.5" customHeight="1" x14ac:dyDescent="0.25">
      <c r="A13" s="21" t="s">
        <v>211</v>
      </c>
      <c r="B13" s="69" t="s">
        <v>246</v>
      </c>
      <c r="C13" s="113">
        <f>314000+75000+974400+583600</f>
        <v>1947000</v>
      </c>
    </row>
    <row r="14" spans="1:3" ht="16.5" customHeight="1" x14ac:dyDescent="0.25">
      <c r="A14" s="21" t="s">
        <v>213</v>
      </c>
      <c r="B14" s="69" t="s">
        <v>247</v>
      </c>
      <c r="C14" s="113">
        <f>117810-9000</f>
        <v>108810</v>
      </c>
    </row>
    <row r="15" spans="1:3" ht="16.5" customHeight="1" x14ac:dyDescent="0.25">
      <c r="A15" s="21" t="s">
        <v>215</v>
      </c>
      <c r="B15" s="69" t="s">
        <v>248</v>
      </c>
      <c r="C15" s="113">
        <f>3155600+1816900+320000+135000+320600+754727+25500+4500</f>
        <v>6532827</v>
      </c>
    </row>
    <row r="16" spans="1:3" ht="16.5" customHeight="1" x14ac:dyDescent="0.25">
      <c r="A16" s="21" t="s">
        <v>216</v>
      </c>
      <c r="B16" s="69" t="s">
        <v>249</v>
      </c>
      <c r="C16" s="113">
        <f>2194414+10825+4775+163000+7900-4188-28000+13427+13052-20000+110000</f>
        <v>2465205</v>
      </c>
    </row>
    <row r="17" spans="1:3" ht="16.5" customHeight="1" x14ac:dyDescent="0.25">
      <c r="A17" s="21" t="s">
        <v>217</v>
      </c>
      <c r="B17" s="69" t="s">
        <v>250</v>
      </c>
      <c r="C17" s="113">
        <f>4084532+13000+1000-2830+2000+3000+8000+1725+15600+3000+8000+8000+12000+2300+3145-1000</f>
        <v>4161472</v>
      </c>
    </row>
    <row r="18" spans="1:3" ht="16.5" customHeight="1" x14ac:dyDescent="0.25">
      <c r="A18" s="21" t="s">
        <v>219</v>
      </c>
      <c r="B18" s="69" t="s">
        <v>251</v>
      </c>
      <c r="C18" s="113">
        <f>20545804+10559+40334+8640+20460+6749-7900+270000+418024+60310+220153+11000+80661-76400+170900+196000+4890+20000+310-60208-6800+1000</f>
        <v>21934486</v>
      </c>
    </row>
    <row r="19" spans="1:3" ht="16.5" customHeight="1" x14ac:dyDescent="0.25">
      <c r="A19" s="21" t="s">
        <v>221</v>
      </c>
      <c r="B19" s="69" t="s">
        <v>268</v>
      </c>
      <c r="C19" s="113">
        <f>10107124+100000+445+53170+719+545+4444+6750+50000+27583-39216+2042+12690+240784+140000+13200+6300-2045-3770-90580+1700+24000-39000-19100+9814+3132+12253+2664+12800+14500-4500-8300+11000-30080-4902-4500-3145</f>
        <v>10608521</v>
      </c>
    </row>
    <row r="20" spans="1:3" s="4" customFormat="1" ht="16.5" customHeight="1" x14ac:dyDescent="0.25">
      <c r="A20" s="18" t="s">
        <v>47</v>
      </c>
      <c r="B20" s="94" t="s">
        <v>486</v>
      </c>
      <c r="C20" s="20">
        <f>SUM(C21:C28)</f>
        <v>55105197</v>
      </c>
    </row>
    <row r="21" spans="1:3" ht="16.5" customHeight="1" x14ac:dyDescent="0.25">
      <c r="A21" s="21" t="s">
        <v>41</v>
      </c>
      <c r="B21" s="22" t="s">
        <v>487</v>
      </c>
      <c r="C21" s="113">
        <f>29236038+50000+650000-31000+211000+12000+33227-27+110000</f>
        <v>30271238</v>
      </c>
    </row>
    <row r="22" spans="1:3" ht="31.2" x14ac:dyDescent="0.25">
      <c r="A22" s="21" t="s">
        <v>42</v>
      </c>
      <c r="B22" s="22" t="s">
        <v>488</v>
      </c>
      <c r="C22" s="113">
        <f>4213604-9600+143000+1700-39000-19200+2000+25500</f>
        <v>4318004</v>
      </c>
    </row>
    <row r="23" spans="1:3" ht="16.5" customHeight="1" x14ac:dyDescent="0.25">
      <c r="A23" s="21" t="s">
        <v>43</v>
      </c>
      <c r="B23" s="22" t="s">
        <v>489</v>
      </c>
      <c r="C23" s="23">
        <f>10538400-76400+170900+196000</f>
        <v>10828900</v>
      </c>
    </row>
    <row r="24" spans="1:3" ht="16.5" customHeight="1" x14ac:dyDescent="0.25">
      <c r="A24" s="21" t="s">
        <v>44</v>
      </c>
      <c r="B24" s="22" t="s">
        <v>490</v>
      </c>
      <c r="C24" s="113">
        <f>156564+1025738+267039+220153+583600+9814+13052+754727</f>
        <v>3030687</v>
      </c>
    </row>
    <row r="25" spans="1:3" ht="16.5" customHeight="1" x14ac:dyDescent="0.25">
      <c r="A25" s="21" t="s">
        <v>45</v>
      </c>
      <c r="B25" s="22" t="s">
        <v>491</v>
      </c>
      <c r="C25" s="113">
        <f>808457+53170+719+545+4444+6750+8640+10825+4775+27583+6749-40001+2042+12690+163000+96950+13400+6300-28000+11000+80661+3132+12253+2664+13100-31283-5000</f>
        <v>1245565</v>
      </c>
    </row>
    <row r="26" spans="1:3" ht="32.25" customHeight="1" x14ac:dyDescent="0.25">
      <c r="A26" s="21" t="s">
        <v>46</v>
      </c>
      <c r="B26" s="22" t="s">
        <v>492</v>
      </c>
      <c r="C26" s="113">
        <f>2701170+20460+13000+1000+621+2000+60310-3770-90580+3000+8000-51308</f>
        <v>2663903</v>
      </c>
    </row>
    <row r="27" spans="1:3" ht="15.75" customHeight="1" x14ac:dyDescent="0.25">
      <c r="A27" s="21" t="s">
        <v>61</v>
      </c>
      <c r="B27" s="22" t="s">
        <v>493</v>
      </c>
      <c r="C27" s="23">
        <f>30000+900000</f>
        <v>930000</v>
      </c>
    </row>
    <row r="28" spans="1:3" ht="15.6" x14ac:dyDescent="0.25">
      <c r="A28" s="21" t="s">
        <v>62</v>
      </c>
      <c r="B28" s="22" t="s">
        <v>494</v>
      </c>
      <c r="C28" s="23">
        <f>1816900</f>
        <v>1816900</v>
      </c>
    </row>
    <row r="29" spans="1:3" ht="45.75" customHeight="1" x14ac:dyDescent="0.3">
      <c r="B29" s="16" t="s">
        <v>385</v>
      </c>
      <c r="C29" s="88"/>
    </row>
    <row r="30" spans="1:3" ht="15.6" x14ac:dyDescent="0.25">
      <c r="B30" s="68"/>
      <c r="C30" s="89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U257"/>
  <sheetViews>
    <sheetView tabSelected="1" workbookViewId="0">
      <pane ySplit="10" topLeftCell="A52" activePane="bottomLeft" state="frozen"/>
      <selection pane="bottomLeft" activeCell="F4" sqref="F4:O4"/>
    </sheetView>
  </sheetViews>
  <sheetFormatPr defaultColWidth="9.109375" defaultRowHeight="15" customHeight="1" x14ac:dyDescent="0.25"/>
  <cols>
    <col min="1" max="1" width="6.33203125" style="74" customWidth="1"/>
    <col min="2" max="2" width="57.109375" style="75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62" customWidth="1"/>
    <col min="17" max="17" width="10.44140625" style="62" customWidth="1"/>
    <col min="18" max="18" width="10.109375" style="15" bestFit="1" customWidth="1"/>
    <col min="19" max="16384" width="9.109375" style="15"/>
  </cols>
  <sheetData>
    <row r="1" spans="1:18" s="2" customFormat="1" ht="11.25" customHeight="1" x14ac:dyDescent="0.3">
      <c r="A1" s="41"/>
      <c r="B1" s="32"/>
      <c r="C1" s="1"/>
      <c r="F1" s="1"/>
      <c r="I1" s="1"/>
      <c r="J1" s="1"/>
      <c r="K1" s="1"/>
      <c r="L1" s="1"/>
      <c r="P1" s="17"/>
      <c r="Q1" s="17"/>
    </row>
    <row r="2" spans="1:18" s="2" customFormat="1" ht="15" customHeight="1" x14ac:dyDescent="0.3">
      <c r="A2" s="41"/>
      <c r="B2" s="32"/>
      <c r="C2" s="1"/>
      <c r="F2" s="119" t="s">
        <v>586</v>
      </c>
      <c r="G2" s="119"/>
      <c r="H2" s="119"/>
      <c r="I2" s="119"/>
      <c r="J2" s="119"/>
      <c r="K2" s="119"/>
      <c r="L2" s="119"/>
      <c r="M2" s="119"/>
      <c r="N2" s="119"/>
      <c r="O2" s="119"/>
      <c r="P2" s="17"/>
      <c r="Q2" s="17"/>
    </row>
    <row r="3" spans="1:18" s="2" customFormat="1" ht="15" customHeight="1" x14ac:dyDescent="0.3">
      <c r="A3" s="41"/>
      <c r="B3" s="32"/>
      <c r="C3" s="1"/>
      <c r="F3" s="119" t="s">
        <v>585</v>
      </c>
      <c r="G3" s="119"/>
      <c r="H3" s="119"/>
      <c r="I3" s="119"/>
      <c r="J3" s="119"/>
      <c r="K3" s="119"/>
      <c r="L3" s="119"/>
      <c r="M3" s="119"/>
      <c r="N3" s="119"/>
      <c r="O3" s="119"/>
      <c r="P3" s="17"/>
      <c r="Q3" s="17"/>
    </row>
    <row r="4" spans="1:18" s="2" customFormat="1" ht="15" customHeight="1" x14ac:dyDescent="0.3">
      <c r="A4" s="41"/>
      <c r="B4" s="32"/>
      <c r="C4" s="1"/>
      <c r="D4" s="1"/>
      <c r="F4" s="119" t="s">
        <v>588</v>
      </c>
      <c r="G4" s="119"/>
      <c r="H4" s="119"/>
      <c r="I4" s="119"/>
      <c r="J4" s="119"/>
      <c r="K4" s="119"/>
      <c r="L4" s="119"/>
      <c r="M4" s="119"/>
      <c r="N4" s="119"/>
      <c r="O4" s="119"/>
      <c r="P4" s="17"/>
      <c r="Q4" s="17"/>
    </row>
    <row r="5" spans="1:18" s="2" customFormat="1" ht="15" customHeight="1" x14ac:dyDescent="0.3">
      <c r="A5" s="41"/>
      <c r="B5" s="32"/>
      <c r="C5" s="1"/>
      <c r="F5" s="119" t="s">
        <v>587</v>
      </c>
      <c r="G5" s="119"/>
      <c r="H5" s="119"/>
      <c r="I5" s="119"/>
      <c r="J5" s="2" t="s">
        <v>157</v>
      </c>
      <c r="K5" s="2" t="s">
        <v>157</v>
      </c>
      <c r="P5" s="17"/>
      <c r="Q5" s="17"/>
    </row>
    <row r="6" spans="1:18" s="2" customFormat="1" ht="12.75" customHeight="1" x14ac:dyDescent="0.3">
      <c r="A6" s="41"/>
      <c r="B6" s="32"/>
      <c r="C6" s="1"/>
      <c r="F6" s="1"/>
      <c r="I6" s="1"/>
      <c r="J6" s="1"/>
      <c r="L6" s="1"/>
      <c r="P6" s="17"/>
      <c r="Q6" s="17"/>
    </row>
    <row r="7" spans="1:18" s="2" customFormat="1" ht="15" customHeight="1" x14ac:dyDescent="0.3">
      <c r="A7" s="41"/>
      <c r="B7" s="117" t="s">
        <v>436</v>
      </c>
      <c r="C7" s="117"/>
      <c r="D7" s="117"/>
      <c r="E7" s="117"/>
      <c r="F7" s="117"/>
      <c r="G7" s="117"/>
      <c r="H7" s="117"/>
      <c r="I7" s="117"/>
      <c r="J7" s="117"/>
      <c r="K7" s="117"/>
      <c r="P7" s="17"/>
      <c r="Q7" s="17"/>
    </row>
    <row r="8" spans="1:18" s="2" customFormat="1" ht="11.25" customHeight="1" x14ac:dyDescent="0.3">
      <c r="A8" s="41"/>
      <c r="B8" s="70"/>
      <c r="C8" s="1"/>
      <c r="D8" s="1"/>
      <c r="F8" s="1"/>
      <c r="G8" s="1"/>
      <c r="I8" s="1"/>
      <c r="J8" s="1"/>
      <c r="K8" s="1"/>
      <c r="L8" s="1"/>
      <c r="M8" s="1"/>
      <c r="O8" s="2" t="s">
        <v>260</v>
      </c>
      <c r="P8" s="17"/>
      <c r="Q8" s="17"/>
    </row>
    <row r="9" spans="1:18" s="71" customFormat="1" ht="71.25" customHeight="1" x14ac:dyDescent="0.25">
      <c r="A9" s="80" t="s">
        <v>18</v>
      </c>
      <c r="B9" s="80" t="s">
        <v>60</v>
      </c>
      <c r="C9" s="130" t="s">
        <v>19</v>
      </c>
      <c r="D9" s="130"/>
      <c r="E9" s="130"/>
      <c r="F9" s="130" t="s">
        <v>261</v>
      </c>
      <c r="G9" s="130"/>
      <c r="H9" s="130"/>
      <c r="I9" s="130" t="s">
        <v>305</v>
      </c>
      <c r="J9" s="130"/>
      <c r="K9" s="130"/>
      <c r="L9" s="130" t="s">
        <v>262</v>
      </c>
      <c r="M9" s="130"/>
      <c r="N9" s="130"/>
      <c r="O9" s="80" t="s">
        <v>20</v>
      </c>
      <c r="P9" s="56"/>
      <c r="Q9" s="56"/>
    </row>
    <row r="10" spans="1:18" s="4" customFormat="1" ht="14.25" customHeight="1" x14ac:dyDescent="0.25">
      <c r="A10" s="3">
        <v>1</v>
      </c>
      <c r="B10" s="72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57"/>
      <c r="Q10" s="57"/>
    </row>
    <row r="11" spans="1:18" s="5" customFormat="1" ht="15" customHeight="1" x14ac:dyDescent="0.3">
      <c r="A11" s="27"/>
      <c r="B11" s="120" t="s">
        <v>198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2"/>
      <c r="P11" s="17"/>
      <c r="Q11" s="17"/>
    </row>
    <row r="12" spans="1:18" s="6" customFormat="1" ht="15.75" customHeight="1" x14ac:dyDescent="0.25">
      <c r="A12" s="27"/>
      <c r="B12" s="42" t="s">
        <v>26</v>
      </c>
      <c r="C12" s="38">
        <f t="shared" ref="C12:N12" si="0">C13+C14+C33+C36</f>
        <v>5568278</v>
      </c>
      <c r="D12" s="38">
        <f t="shared" si="0"/>
        <v>4160950</v>
      </c>
      <c r="E12" s="38">
        <f t="shared" si="0"/>
        <v>0</v>
      </c>
      <c r="F12" s="38">
        <f t="shared" si="0"/>
        <v>550907</v>
      </c>
      <c r="G12" s="38">
        <f t="shared" si="0"/>
        <v>504427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114027</v>
      </c>
      <c r="M12" s="38">
        <f t="shared" si="0"/>
        <v>15000</v>
      </c>
      <c r="N12" s="38">
        <f t="shared" si="0"/>
        <v>0</v>
      </c>
      <c r="O12" s="27">
        <f>C12+F12+I12+L12</f>
        <v>6233212</v>
      </c>
      <c r="P12" s="58"/>
      <c r="Q12" s="58"/>
      <c r="R12" s="58"/>
    </row>
    <row r="13" spans="1:18" s="5" customFormat="1" ht="15.75" customHeight="1" x14ac:dyDescent="0.3">
      <c r="A13" s="27" t="s">
        <v>48</v>
      </c>
      <c r="B13" s="42" t="s">
        <v>170</v>
      </c>
      <c r="C13" s="38">
        <v>69600</v>
      </c>
      <c r="D13" s="38">
        <v>66550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7">
        <f t="shared" ref="O13:O36" si="1">C13+F13+I13+L13</f>
        <v>69600</v>
      </c>
      <c r="P13" s="17"/>
      <c r="Q13" s="17"/>
    </row>
    <row r="14" spans="1:18" s="5" customFormat="1" ht="16.5" customHeight="1" x14ac:dyDescent="0.3">
      <c r="A14" s="27" t="s">
        <v>47</v>
      </c>
      <c r="B14" s="42" t="s">
        <v>517</v>
      </c>
      <c r="C14" s="38">
        <f t="shared" ref="C14:N14" si="2">SUM(C15:C32)</f>
        <v>4933578</v>
      </c>
      <c r="D14" s="38">
        <f t="shared" si="2"/>
        <v>4094400</v>
      </c>
      <c r="E14" s="38">
        <f t="shared" si="2"/>
        <v>0</v>
      </c>
      <c r="F14" s="38">
        <f t="shared" si="2"/>
        <v>550907</v>
      </c>
      <c r="G14" s="38">
        <f t="shared" si="2"/>
        <v>504427</v>
      </c>
      <c r="H14" s="38">
        <f t="shared" si="2"/>
        <v>0</v>
      </c>
      <c r="I14" s="38">
        <f t="shared" si="2"/>
        <v>0</v>
      </c>
      <c r="J14" s="38">
        <f t="shared" si="2"/>
        <v>0</v>
      </c>
      <c r="K14" s="38">
        <f t="shared" si="2"/>
        <v>0</v>
      </c>
      <c r="L14" s="38">
        <f t="shared" si="2"/>
        <v>114027</v>
      </c>
      <c r="M14" s="38">
        <f t="shared" si="2"/>
        <v>15000</v>
      </c>
      <c r="N14" s="38">
        <f t="shared" si="2"/>
        <v>0</v>
      </c>
      <c r="O14" s="27">
        <f t="shared" si="1"/>
        <v>5598512</v>
      </c>
      <c r="P14" s="17"/>
      <c r="Q14" s="17"/>
    </row>
    <row r="15" spans="1:18" s="2" customFormat="1" ht="15.75" customHeight="1" x14ac:dyDescent="0.3">
      <c r="A15" s="28" t="s">
        <v>41</v>
      </c>
      <c r="B15" s="33" t="s">
        <v>437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17"/>
      <c r="Q15" s="17"/>
    </row>
    <row r="16" spans="1:18" s="2" customFormat="1" ht="15.75" customHeight="1" x14ac:dyDescent="0.3">
      <c r="A16" s="28" t="s">
        <v>42</v>
      </c>
      <c r="B16" s="33" t="s">
        <v>438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17"/>
      <c r="Q16" s="17"/>
    </row>
    <row r="17" spans="1:17" s="2" customFormat="1" ht="15.75" customHeight="1" x14ac:dyDescent="0.3">
      <c r="A17" s="28" t="s">
        <v>43</v>
      </c>
      <c r="B17" s="33" t="s">
        <v>439</v>
      </c>
      <c r="C17" s="27">
        <f>2833700+5000+40830+77141+33227</f>
        <v>2989898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3036898</v>
      </c>
      <c r="P17" s="17"/>
      <c r="Q17" s="17"/>
    </row>
    <row r="18" spans="1:17" s="2" customFormat="1" ht="15.75" customHeight="1" x14ac:dyDescent="0.3">
      <c r="A18" s="28" t="s">
        <v>44</v>
      </c>
      <c r="B18" s="33" t="s">
        <v>440</v>
      </c>
      <c r="C18" s="27"/>
      <c r="D18" s="29"/>
      <c r="E18" s="29"/>
      <c r="F18" s="27">
        <f>520454-2000-600-4600+3000-100+2000</f>
        <v>518154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518154</v>
      </c>
      <c r="P18" s="17"/>
      <c r="Q18" s="17"/>
    </row>
    <row r="19" spans="1:17" s="2" customFormat="1" ht="15.75" customHeight="1" x14ac:dyDescent="0.3">
      <c r="A19" s="28" t="s">
        <v>45</v>
      </c>
      <c r="B19" s="33" t="s">
        <v>441</v>
      </c>
      <c r="C19" s="27"/>
      <c r="D19" s="29"/>
      <c r="E19" s="29"/>
      <c r="F19" s="27">
        <f>35925+2045-785-400-81-150-5000+2000+200+300-1203-98</f>
        <v>32753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32753</v>
      </c>
      <c r="P19" s="17"/>
      <c r="Q19" s="17"/>
    </row>
    <row r="20" spans="1:17" s="2" customFormat="1" ht="15.75" customHeight="1" x14ac:dyDescent="0.3">
      <c r="A20" s="30" t="s">
        <v>46</v>
      </c>
      <c r="B20" s="33" t="s">
        <v>88</v>
      </c>
      <c r="C20" s="27">
        <v>127500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129800</v>
      </c>
      <c r="P20" s="17"/>
      <c r="Q20" s="17"/>
    </row>
    <row r="21" spans="1:17" s="2" customFormat="1" ht="15.75" customHeight="1" x14ac:dyDescent="0.3">
      <c r="A21" s="30" t="s">
        <v>61</v>
      </c>
      <c r="B21" s="33" t="s">
        <v>94</v>
      </c>
      <c r="C21" s="27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17"/>
      <c r="Q21" s="17"/>
    </row>
    <row r="22" spans="1:17" s="2" customFormat="1" ht="15.75" customHeight="1" x14ac:dyDescent="0.3">
      <c r="A22" s="30" t="s">
        <v>62</v>
      </c>
      <c r="B22" s="33" t="s">
        <v>95</v>
      </c>
      <c r="C22" s="27">
        <f>72900+2800</f>
        <v>75700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77930</v>
      </c>
      <c r="P22" s="17"/>
      <c r="Q22" s="17"/>
    </row>
    <row r="23" spans="1:17" s="1" customFormat="1" ht="15.75" customHeight="1" x14ac:dyDescent="0.3">
      <c r="A23" s="30" t="s">
        <v>63</v>
      </c>
      <c r="B23" s="33" t="s">
        <v>96</v>
      </c>
      <c r="C23" s="27">
        <v>120700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121321</v>
      </c>
      <c r="P23" s="17"/>
      <c r="Q23" s="17"/>
    </row>
    <row r="24" spans="1:17" s="2" customFormat="1" ht="15.75" customHeight="1" x14ac:dyDescent="0.3">
      <c r="A24" s="30" t="s">
        <v>64</v>
      </c>
      <c r="B24" s="33" t="s">
        <v>97</v>
      </c>
      <c r="C24" s="27">
        <f>162700+3680+10000</f>
        <v>176380</v>
      </c>
      <c r="D24" s="29">
        <v>124000</v>
      </c>
      <c r="E24" s="29"/>
      <c r="F24" s="29"/>
      <c r="G24" s="29"/>
      <c r="H24" s="29"/>
      <c r="I24" s="29"/>
      <c r="J24" s="29"/>
      <c r="K24" s="29"/>
      <c r="L24" s="27">
        <f>7000+40000</f>
        <v>47000</v>
      </c>
      <c r="M24" s="29">
        <v>15000</v>
      </c>
      <c r="N24" s="29"/>
      <c r="O24" s="27">
        <f t="shared" si="1"/>
        <v>223380</v>
      </c>
      <c r="P24" s="17"/>
      <c r="Q24" s="17"/>
    </row>
    <row r="25" spans="1:17" s="2" customFormat="1" ht="15.75" customHeight="1" x14ac:dyDescent="0.3">
      <c r="A25" s="30" t="s">
        <v>65</v>
      </c>
      <c r="B25" s="33" t="s">
        <v>98</v>
      </c>
      <c r="C25" s="27">
        <f>121800+1000</f>
        <v>122800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127050</v>
      </c>
      <c r="P25" s="17"/>
      <c r="Q25" s="17"/>
    </row>
    <row r="26" spans="1:17" s="2" customFormat="1" ht="15.75" customHeight="1" x14ac:dyDescent="0.3">
      <c r="A26" s="30" t="s">
        <v>85</v>
      </c>
      <c r="B26" s="33" t="s">
        <v>99</v>
      </c>
      <c r="C26" s="27">
        <v>100900</v>
      </c>
      <c r="D26" s="29">
        <v>91000</v>
      </c>
      <c r="E26" s="29"/>
      <c r="F26" s="29"/>
      <c r="G26" s="29"/>
      <c r="H26" s="29"/>
      <c r="I26" s="29"/>
      <c r="J26" s="29"/>
      <c r="K26" s="29"/>
      <c r="L26" s="27">
        <f>3220-2900</f>
        <v>320</v>
      </c>
      <c r="M26" s="29"/>
      <c r="N26" s="29"/>
      <c r="O26" s="27">
        <f t="shared" si="1"/>
        <v>101220</v>
      </c>
      <c r="P26" s="17"/>
      <c r="Q26" s="17"/>
    </row>
    <row r="27" spans="1:17" s="2" customFormat="1" ht="15.75" customHeight="1" x14ac:dyDescent="0.3">
      <c r="A27" s="30" t="s">
        <v>86</v>
      </c>
      <c r="B27" s="33" t="s">
        <v>100</v>
      </c>
      <c r="C27" s="27">
        <v>119800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119800</v>
      </c>
      <c r="P27" s="17"/>
      <c r="Q27" s="17"/>
    </row>
    <row r="28" spans="1:17" s="2" customFormat="1" ht="15.75" customHeight="1" x14ac:dyDescent="0.3">
      <c r="A28" s="30" t="s">
        <v>87</v>
      </c>
      <c r="B28" s="33" t="s">
        <v>101</v>
      </c>
      <c r="C28" s="27">
        <f>117100+1400</f>
        <v>118500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120900</v>
      </c>
      <c r="P28" s="17"/>
      <c r="Q28" s="17"/>
    </row>
    <row r="29" spans="1:17" s="2" customFormat="1" ht="15.75" customHeight="1" x14ac:dyDescent="0.3">
      <c r="A29" s="30" t="s">
        <v>105</v>
      </c>
      <c r="B29" s="33" t="s">
        <v>102</v>
      </c>
      <c r="C29" s="27">
        <v>134800</v>
      </c>
      <c r="D29" s="29">
        <v>124000</v>
      </c>
      <c r="E29" s="29"/>
      <c r="F29" s="29"/>
      <c r="G29" s="29"/>
      <c r="H29" s="29"/>
      <c r="I29" s="29"/>
      <c r="J29" s="29"/>
      <c r="K29" s="29"/>
      <c r="L29" s="27">
        <f>9340+2230-5000</f>
        <v>6570</v>
      </c>
      <c r="M29" s="29"/>
      <c r="N29" s="29"/>
      <c r="O29" s="27">
        <f t="shared" si="1"/>
        <v>141370</v>
      </c>
      <c r="P29" s="17"/>
      <c r="Q29" s="17"/>
    </row>
    <row r="30" spans="1:17" s="2" customFormat="1" ht="15.75" customHeight="1" x14ac:dyDescent="0.3">
      <c r="A30" s="30" t="s">
        <v>106</v>
      </c>
      <c r="B30" s="33" t="s">
        <v>103</v>
      </c>
      <c r="C30" s="27">
        <f>115500-5000</f>
        <v>110500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111836</v>
      </c>
      <c r="P30" s="17"/>
      <c r="Q30" s="17"/>
    </row>
    <row r="31" spans="1:17" s="2" customFormat="1" ht="15.75" customHeight="1" x14ac:dyDescent="0.3">
      <c r="A31" s="30" t="s">
        <v>107</v>
      </c>
      <c r="B31" s="60" t="s">
        <v>104</v>
      </c>
      <c r="C31" s="27">
        <v>110600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110600</v>
      </c>
      <c r="P31" s="17"/>
      <c r="Q31" s="17"/>
    </row>
    <row r="32" spans="1:17" s="1" customFormat="1" ht="29.25" customHeight="1" x14ac:dyDescent="0.3">
      <c r="A32" s="30" t="s">
        <v>108</v>
      </c>
      <c r="B32" s="33" t="s">
        <v>351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17"/>
      <c r="Q32" s="17"/>
    </row>
    <row r="33" spans="1:17" s="9" customFormat="1" ht="15" customHeight="1" x14ac:dyDescent="0.25">
      <c r="A33" s="27" t="s">
        <v>49</v>
      </c>
      <c r="B33" s="42" t="s">
        <v>22</v>
      </c>
      <c r="C33" s="27">
        <f>SUM(C34:C35)</f>
        <v>243400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243400</v>
      </c>
      <c r="P33" s="58"/>
      <c r="Q33" s="58"/>
    </row>
    <row r="34" spans="1:17" s="7" customFormat="1" ht="15.75" customHeight="1" x14ac:dyDescent="0.25">
      <c r="A34" s="44" t="s">
        <v>66</v>
      </c>
      <c r="B34" s="45" t="s">
        <v>352</v>
      </c>
      <c r="C34" s="29">
        <f>200000-5600-31000</f>
        <v>163400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163400</v>
      </c>
      <c r="P34" s="58"/>
      <c r="Q34" s="58"/>
    </row>
    <row r="35" spans="1:17" s="7" customFormat="1" ht="44.25" customHeight="1" x14ac:dyDescent="0.25">
      <c r="A35" s="44" t="s">
        <v>232</v>
      </c>
      <c r="B35" s="45" t="s">
        <v>442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8"/>
      <c r="Q35" s="58"/>
    </row>
    <row r="36" spans="1:17" s="9" customFormat="1" ht="15.75" customHeight="1" x14ac:dyDescent="0.25">
      <c r="A36" s="27" t="s">
        <v>50</v>
      </c>
      <c r="B36" s="42" t="s">
        <v>33</v>
      </c>
      <c r="C36" s="27">
        <f t="shared" ref="C36:I36" si="4">SUM(C37:C39)</f>
        <v>321700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321700</v>
      </c>
      <c r="P36" s="58"/>
      <c r="Q36" s="58"/>
    </row>
    <row r="37" spans="1:17" s="7" customFormat="1" ht="15.75" customHeight="1" x14ac:dyDescent="0.25">
      <c r="A37" s="44" t="s">
        <v>37</v>
      </c>
      <c r="B37" s="45" t="s">
        <v>390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8"/>
      <c r="Q37" s="58"/>
    </row>
    <row r="38" spans="1:17" s="7" customFormat="1" ht="45" customHeight="1" x14ac:dyDescent="0.25">
      <c r="A38" s="44" t="s">
        <v>38</v>
      </c>
      <c r="B38" s="45" t="s">
        <v>391</v>
      </c>
      <c r="C38" s="29">
        <f>210000+37600</f>
        <v>247600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247600</v>
      </c>
      <c r="P38" s="58"/>
      <c r="Q38" s="58"/>
    </row>
    <row r="39" spans="1:17" s="7" customFormat="1" ht="28.5" hidden="1" customHeight="1" x14ac:dyDescent="0.25">
      <c r="A39" s="44" t="s">
        <v>353</v>
      </c>
      <c r="B39" s="45" t="s">
        <v>392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8"/>
      <c r="Q39" s="58"/>
    </row>
    <row r="40" spans="1:17" s="1" customFormat="1" ht="16.5" customHeight="1" x14ac:dyDescent="0.3">
      <c r="A40" s="46"/>
      <c r="B40" s="120" t="s">
        <v>199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2"/>
      <c r="P40" s="17"/>
      <c r="Q40" s="17"/>
    </row>
    <row r="41" spans="1:17" s="7" customFormat="1" ht="15.75" customHeight="1" x14ac:dyDescent="0.25">
      <c r="A41" s="29"/>
      <c r="B41" s="42" t="s">
        <v>26</v>
      </c>
      <c r="C41" s="38">
        <f>C42</f>
        <v>55000</v>
      </c>
      <c r="D41" s="38">
        <f t="shared" ref="D41:N41" si="5">D42</f>
        <v>0</v>
      </c>
      <c r="E41" s="38">
        <f t="shared" si="5"/>
        <v>0</v>
      </c>
      <c r="F41" s="38">
        <f t="shared" si="5"/>
        <v>1817000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/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27">
        <f t="shared" ref="O41:O46" si="6">C41+F41+I41+L41</f>
        <v>1872000</v>
      </c>
      <c r="P41" s="58"/>
      <c r="Q41" s="58"/>
    </row>
    <row r="42" spans="1:17" s="7" customFormat="1" ht="15.75" customHeight="1" x14ac:dyDescent="0.25">
      <c r="A42" s="27" t="s">
        <v>51</v>
      </c>
      <c r="B42" s="42" t="s">
        <v>33</v>
      </c>
      <c r="C42" s="38">
        <f>SUM(C44,C45)</f>
        <v>55000</v>
      </c>
      <c r="D42" s="38">
        <f>SUM(D45)</f>
        <v>0</v>
      </c>
      <c r="E42" s="38">
        <f>SUM(E45)</f>
        <v>0</v>
      </c>
      <c r="F42" s="38">
        <f>SUM(F43,F46)</f>
        <v>1817000</v>
      </c>
      <c r="G42" s="38">
        <f t="shared" ref="G42:N42" si="7">SUM(G43)</f>
        <v>0</v>
      </c>
      <c r="H42" s="38">
        <f t="shared" si="7"/>
        <v>0</v>
      </c>
      <c r="I42" s="38">
        <f t="shared" si="7"/>
        <v>0</v>
      </c>
      <c r="J42" s="38"/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  <c r="O42" s="27">
        <f t="shared" si="6"/>
        <v>1872000</v>
      </c>
      <c r="P42" s="58"/>
      <c r="Q42" s="58"/>
    </row>
    <row r="43" spans="1:17" s="11" customFormat="1" ht="15.75" customHeight="1" x14ac:dyDescent="0.25">
      <c r="A43" s="44" t="s">
        <v>39</v>
      </c>
      <c r="B43" s="45" t="s">
        <v>149</v>
      </c>
      <c r="C43" s="45"/>
      <c r="D43" s="45"/>
      <c r="E43" s="45"/>
      <c r="F43" s="37">
        <v>259000</v>
      </c>
      <c r="G43" s="37"/>
      <c r="H43" s="37"/>
      <c r="I43" s="45"/>
      <c r="J43" s="45"/>
      <c r="K43" s="45"/>
      <c r="L43" s="45"/>
      <c r="M43" s="45"/>
      <c r="N43" s="45"/>
      <c r="O43" s="27">
        <f t="shared" si="6"/>
        <v>259000</v>
      </c>
      <c r="P43" s="58"/>
      <c r="Q43" s="58"/>
    </row>
    <row r="44" spans="1:17" s="11" customFormat="1" ht="15.75" customHeight="1" x14ac:dyDescent="0.25">
      <c r="A44" s="44" t="s">
        <v>40</v>
      </c>
      <c r="B44" s="45" t="s">
        <v>184</v>
      </c>
      <c r="C44" s="37">
        <v>15000</v>
      </c>
      <c r="D44" s="45"/>
      <c r="E44" s="45"/>
      <c r="F44" s="37"/>
      <c r="G44" s="37"/>
      <c r="H44" s="37"/>
      <c r="I44" s="45"/>
      <c r="J44" s="45"/>
      <c r="K44" s="45"/>
      <c r="L44" s="45"/>
      <c r="M44" s="45"/>
      <c r="N44" s="45"/>
      <c r="O44" s="27">
        <f t="shared" si="6"/>
        <v>15000</v>
      </c>
      <c r="P44" s="58"/>
      <c r="Q44" s="58"/>
    </row>
    <row r="45" spans="1:17" s="2" customFormat="1" ht="15.75" customHeight="1" x14ac:dyDescent="0.3">
      <c r="A45" s="81" t="s">
        <v>171</v>
      </c>
      <c r="B45" s="32" t="s">
        <v>190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17"/>
      <c r="Q45" s="17"/>
    </row>
    <row r="46" spans="1:17" s="2" customFormat="1" ht="28.5" customHeight="1" x14ac:dyDescent="0.3">
      <c r="A46" s="44" t="s">
        <v>258</v>
      </c>
      <c r="B46" s="33" t="s">
        <v>393</v>
      </c>
      <c r="C46" s="29"/>
      <c r="D46" s="29"/>
      <c r="E46" s="29"/>
      <c r="F46" s="29">
        <f>974400+583600</f>
        <v>1558000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1558000</v>
      </c>
      <c r="P46" s="17"/>
      <c r="Q46" s="17"/>
    </row>
    <row r="47" spans="1:17" s="2" customFormat="1" ht="32.25" customHeight="1" x14ac:dyDescent="0.3">
      <c r="A47" s="47"/>
      <c r="B47" s="120" t="s">
        <v>200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  <c r="P47" s="17"/>
      <c r="Q47" s="17"/>
    </row>
    <row r="48" spans="1:17" s="7" customFormat="1" ht="15.75" customHeight="1" x14ac:dyDescent="0.25">
      <c r="A48" s="29"/>
      <c r="B48" s="42" t="s">
        <v>26</v>
      </c>
      <c r="C48" s="38">
        <f t="shared" ref="C48:N48" si="8">C49+C53</f>
        <v>100200</v>
      </c>
      <c r="D48" s="38">
        <f t="shared" si="8"/>
        <v>65000</v>
      </c>
      <c r="E48" s="38">
        <f t="shared" si="8"/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  <c r="L48" s="38">
        <f t="shared" si="8"/>
        <v>8610</v>
      </c>
      <c r="M48" s="38">
        <f t="shared" si="8"/>
        <v>8460</v>
      </c>
      <c r="N48" s="38">
        <f t="shared" si="8"/>
        <v>0</v>
      </c>
      <c r="O48" s="38">
        <f>C48+L48</f>
        <v>108810</v>
      </c>
      <c r="P48" s="58"/>
      <c r="Q48" s="58"/>
    </row>
    <row r="49" spans="1:21" s="2" customFormat="1" ht="15.75" customHeight="1" x14ac:dyDescent="0.3">
      <c r="A49" s="27" t="s">
        <v>52</v>
      </c>
      <c r="B49" s="42" t="s">
        <v>33</v>
      </c>
      <c r="C49" s="27">
        <f t="shared" ref="C49:N49" si="9">SUM(C50:C52)</f>
        <v>100200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100200</v>
      </c>
      <c r="P49" s="17"/>
      <c r="Q49" s="17"/>
    </row>
    <row r="50" spans="1:21" s="2" customFormat="1" ht="15.75" customHeight="1" x14ac:dyDescent="0.3">
      <c r="A50" s="44" t="s">
        <v>67</v>
      </c>
      <c r="B50" s="48" t="s">
        <v>156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17"/>
      <c r="Q50" s="17"/>
    </row>
    <row r="51" spans="1:21" s="2" customFormat="1" ht="15.75" customHeight="1" x14ac:dyDescent="0.3">
      <c r="A51" s="28" t="s">
        <v>185</v>
      </c>
      <c r="B51" s="48" t="s">
        <v>172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17"/>
      <c r="Q51" s="17"/>
    </row>
    <row r="52" spans="1:21" s="2" customFormat="1" ht="15.75" customHeight="1" x14ac:dyDescent="0.3">
      <c r="A52" s="64" t="s">
        <v>191</v>
      </c>
      <c r="B52" s="33" t="s">
        <v>192</v>
      </c>
      <c r="C52" s="29">
        <f>9000-9000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0</v>
      </c>
      <c r="P52" s="17"/>
      <c r="Q52" s="17"/>
    </row>
    <row r="53" spans="1:21" s="2" customFormat="1" ht="29.25" customHeight="1" x14ac:dyDescent="0.3">
      <c r="A53" s="27" t="s">
        <v>53</v>
      </c>
      <c r="B53" s="42" t="s">
        <v>203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17"/>
      <c r="Q53" s="17"/>
      <c r="T53" s="55"/>
      <c r="U53" s="55"/>
    </row>
    <row r="54" spans="1:21" s="2" customFormat="1" ht="15.75" customHeight="1" x14ac:dyDescent="0.3">
      <c r="A54" s="44" t="s">
        <v>68</v>
      </c>
      <c r="B54" s="48" t="s">
        <v>394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17"/>
      <c r="Q54" s="17"/>
      <c r="T54" s="55"/>
      <c r="U54" s="55"/>
    </row>
    <row r="55" spans="1:21" s="1" customFormat="1" ht="29.25" customHeight="1" x14ac:dyDescent="0.3">
      <c r="A55" s="46"/>
      <c r="B55" s="127" t="s">
        <v>263</v>
      </c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9"/>
      <c r="P55" s="17"/>
      <c r="Q55" s="17"/>
    </row>
    <row r="56" spans="1:21" s="7" customFormat="1" ht="15.75" customHeight="1" x14ac:dyDescent="0.25">
      <c r="A56" s="29"/>
      <c r="B56" s="42" t="s">
        <v>26</v>
      </c>
      <c r="C56" s="38">
        <f t="shared" ref="C56:N56" si="12">C57+C87</f>
        <v>2656500</v>
      </c>
      <c r="D56" s="38">
        <f t="shared" si="12"/>
        <v>28345</v>
      </c>
      <c r="E56" s="38">
        <f t="shared" si="12"/>
        <v>0</v>
      </c>
      <c r="F56" s="38">
        <f t="shared" si="12"/>
        <v>1604427</v>
      </c>
      <c r="G56" s="38">
        <f t="shared" si="12"/>
        <v>733435</v>
      </c>
      <c r="H56" s="38">
        <f t="shared" si="12"/>
        <v>0</v>
      </c>
      <c r="I56" s="38">
        <f t="shared" si="12"/>
        <v>1816900</v>
      </c>
      <c r="J56" s="38">
        <f t="shared" si="12"/>
        <v>0</v>
      </c>
      <c r="K56" s="38">
        <f t="shared" si="12"/>
        <v>0</v>
      </c>
      <c r="L56" s="38">
        <f t="shared" si="12"/>
        <v>0</v>
      </c>
      <c r="M56" s="38">
        <f t="shared" si="12"/>
        <v>0</v>
      </c>
      <c r="N56" s="38">
        <f t="shared" si="12"/>
        <v>0</v>
      </c>
      <c r="O56" s="27">
        <f>C56+F56+I56+L56</f>
        <v>6077827</v>
      </c>
      <c r="P56" s="58"/>
      <c r="Q56" s="58"/>
    </row>
    <row r="57" spans="1:21" s="7" customFormat="1" ht="15.75" customHeight="1" x14ac:dyDescent="0.25">
      <c r="A57" s="27" t="s">
        <v>54</v>
      </c>
      <c r="B57" s="42" t="s">
        <v>33</v>
      </c>
      <c r="C57" s="38">
        <f>SUM(C58:C72,C85)+C86</f>
        <v>2583500</v>
      </c>
      <c r="D57" s="38">
        <f t="shared" ref="D57:K57" si="13">SUM(D58:D72,D85)</f>
        <v>0</v>
      </c>
      <c r="E57" s="38">
        <f t="shared" si="13"/>
        <v>0</v>
      </c>
      <c r="F57" s="38">
        <f>SUM(F58:F72,F85)+F86</f>
        <v>754727</v>
      </c>
      <c r="G57" s="38">
        <f t="shared" si="13"/>
        <v>0</v>
      </c>
      <c r="H57" s="38">
        <f t="shared" si="13"/>
        <v>0</v>
      </c>
      <c r="I57" s="38">
        <f>SUM(I58:I72,I85)+I86</f>
        <v>1816900</v>
      </c>
      <c r="J57" s="38">
        <f t="shared" si="13"/>
        <v>0</v>
      </c>
      <c r="K57" s="38">
        <f t="shared" si="13"/>
        <v>0</v>
      </c>
      <c r="L57" s="38">
        <f>SUM(L58:L72,L85)+L86</f>
        <v>0</v>
      </c>
      <c r="M57" s="38">
        <f>SUM(M58:M72)</f>
        <v>0</v>
      </c>
      <c r="N57" s="38">
        <f>SUM(N58:N72)</f>
        <v>0</v>
      </c>
      <c r="O57" s="27">
        <f t="shared" ref="O57:O83" si="14">C57+F57+I57+L57</f>
        <v>5155127</v>
      </c>
      <c r="P57" s="58"/>
      <c r="Q57" s="58"/>
    </row>
    <row r="58" spans="1:21" s="2" customFormat="1" ht="45" customHeight="1" x14ac:dyDescent="0.3">
      <c r="A58" s="44" t="s">
        <v>69</v>
      </c>
      <c r="B58" s="33" t="s">
        <v>173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17"/>
      <c r="Q58" s="17"/>
    </row>
    <row r="59" spans="1:21" s="11" customFormat="1" ht="15.75" customHeight="1" x14ac:dyDescent="0.25">
      <c r="A59" s="44" t="s">
        <v>70</v>
      </c>
      <c r="B59" s="45" t="s">
        <v>395</v>
      </c>
      <c r="C59" s="37">
        <f>75000</f>
        <v>75000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7">
        <f t="shared" si="14"/>
        <v>75000</v>
      </c>
      <c r="P59" s="58"/>
      <c r="Q59" s="58"/>
    </row>
    <row r="60" spans="1:21" s="2" customFormat="1" ht="30" customHeight="1" x14ac:dyDescent="0.3">
      <c r="A60" s="44" t="s">
        <v>71</v>
      </c>
      <c r="B60" s="45" t="s">
        <v>443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17"/>
      <c r="Q60" s="17"/>
    </row>
    <row r="61" spans="1:21" s="7" customFormat="1" ht="30" customHeight="1" x14ac:dyDescent="0.25">
      <c r="A61" s="44" t="s">
        <v>109</v>
      </c>
      <c r="B61" s="45" t="s">
        <v>264</v>
      </c>
      <c r="C61" s="36">
        <v>19000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19000</v>
      </c>
      <c r="P61" s="58"/>
      <c r="Q61" s="58"/>
    </row>
    <row r="62" spans="1:21" s="7" customFormat="1" ht="13.8" x14ac:dyDescent="0.25">
      <c r="A62" s="44" t="s">
        <v>110</v>
      </c>
      <c r="B62" s="45" t="s">
        <v>570</v>
      </c>
      <c r="C62" s="29">
        <f>480000+142000</f>
        <v>622000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622000</v>
      </c>
      <c r="P62" s="58"/>
      <c r="Q62" s="58"/>
    </row>
    <row r="63" spans="1:21" s="2" customFormat="1" ht="15.75" customHeight="1" x14ac:dyDescent="0.3">
      <c r="A63" s="44" t="s">
        <v>111</v>
      </c>
      <c r="B63" s="33" t="s">
        <v>187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17"/>
      <c r="Q63" s="17"/>
    </row>
    <row r="64" spans="1:21" s="2" customFormat="1" ht="30.75" customHeight="1" x14ac:dyDescent="0.3">
      <c r="A64" s="44" t="s">
        <v>112</v>
      </c>
      <c r="B64" s="45" t="s">
        <v>444</v>
      </c>
      <c r="C64" s="29">
        <v>100000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100000</v>
      </c>
      <c r="P64" s="17"/>
      <c r="Q64" s="17"/>
    </row>
    <row r="65" spans="1:21" s="7" customFormat="1" ht="15.75" customHeight="1" x14ac:dyDescent="0.25">
      <c r="A65" s="44" t="s">
        <v>113</v>
      </c>
      <c r="B65" s="45" t="s">
        <v>27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8"/>
      <c r="Q65" s="58"/>
    </row>
    <row r="66" spans="1:21" s="11" customFormat="1" ht="29.25" customHeight="1" x14ac:dyDescent="0.25">
      <c r="A66" s="44" t="s">
        <v>114</v>
      </c>
      <c r="B66" s="45" t="s">
        <v>174</v>
      </c>
      <c r="C66" s="37">
        <f>290000+35000</f>
        <v>325000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7">
        <f t="shared" si="14"/>
        <v>325000</v>
      </c>
      <c r="P66" s="58"/>
      <c r="Q66" s="58"/>
    </row>
    <row r="67" spans="1:21" s="11" customFormat="1" ht="30" customHeight="1" x14ac:dyDescent="0.25">
      <c r="A67" s="44" t="s">
        <v>115</v>
      </c>
      <c r="B67" s="45" t="s">
        <v>348</v>
      </c>
      <c r="C67" s="37">
        <f>40000+10000</f>
        <v>50000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7">
        <f t="shared" si="14"/>
        <v>50000</v>
      </c>
      <c r="P67" s="58"/>
      <c r="Q67" s="58"/>
    </row>
    <row r="68" spans="1:21" s="2" customFormat="1" ht="15.75" customHeight="1" x14ac:dyDescent="0.3">
      <c r="A68" s="44" t="s">
        <v>116</v>
      </c>
      <c r="B68" s="33" t="s">
        <v>445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17"/>
      <c r="Q68" s="17"/>
    </row>
    <row r="69" spans="1:21" s="2" customFormat="1" ht="15.75" customHeight="1" x14ac:dyDescent="0.3">
      <c r="A69" s="44" t="s">
        <v>158</v>
      </c>
      <c r="B69" s="33" t="s">
        <v>396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17"/>
      <c r="Q69" s="17"/>
    </row>
    <row r="70" spans="1:21" s="2" customFormat="1" ht="15.75" customHeight="1" x14ac:dyDescent="0.3">
      <c r="A70" s="44" t="s">
        <v>397</v>
      </c>
      <c r="B70" s="33" t="s">
        <v>387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17"/>
      <c r="Q70" s="17"/>
    </row>
    <row r="71" spans="1:21" s="2" customFormat="1" ht="16.5" customHeight="1" x14ac:dyDescent="0.3">
      <c r="A71" s="44" t="s">
        <v>398</v>
      </c>
      <c r="B71" s="60" t="s">
        <v>446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Q71" s="55"/>
      <c r="T71" s="55"/>
      <c r="U71" s="55"/>
    </row>
    <row r="72" spans="1:21" s="1" customFormat="1" ht="29.25" customHeight="1" x14ac:dyDescent="0.3">
      <c r="A72" s="29"/>
      <c r="B72" s="33" t="s">
        <v>175</v>
      </c>
      <c r="C72" s="29">
        <f t="shared" ref="C72:O72" si="15">SUM(C73:C84)</f>
        <v>1035100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1035100</v>
      </c>
      <c r="P72" s="17"/>
      <c r="Q72" s="17"/>
    </row>
    <row r="73" spans="1:21" s="2" customFormat="1" ht="15.75" customHeight="1" x14ac:dyDescent="0.3">
      <c r="A73" s="44" t="s">
        <v>399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17"/>
      <c r="Q73" s="17"/>
    </row>
    <row r="74" spans="1:21" s="2" customFormat="1" ht="15.75" customHeight="1" x14ac:dyDescent="0.3">
      <c r="A74" s="44" t="s">
        <v>400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17"/>
      <c r="Q74" s="17"/>
    </row>
    <row r="75" spans="1:21" s="1" customFormat="1" ht="15.75" customHeight="1" x14ac:dyDescent="0.3">
      <c r="A75" s="44" t="s">
        <v>401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17"/>
      <c r="Q75" s="17"/>
    </row>
    <row r="76" spans="1:21" s="2" customFormat="1" ht="15.75" customHeight="1" x14ac:dyDescent="0.3">
      <c r="A76" s="44" t="s">
        <v>402</v>
      </c>
      <c r="B76" s="33" t="s">
        <v>7</v>
      </c>
      <c r="C76" s="29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17"/>
      <c r="Q76" s="17"/>
    </row>
    <row r="77" spans="1:21" s="2" customFormat="1" ht="15.75" customHeight="1" x14ac:dyDescent="0.3">
      <c r="A77" s="44" t="s">
        <v>403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17"/>
      <c r="Q77" s="17"/>
    </row>
    <row r="78" spans="1:21" s="2" customFormat="1" ht="15.75" customHeight="1" x14ac:dyDescent="0.3">
      <c r="A78" s="44" t="s">
        <v>404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17"/>
      <c r="Q78" s="17"/>
    </row>
    <row r="79" spans="1:21" s="2" customFormat="1" ht="15.75" customHeight="1" x14ac:dyDescent="0.3">
      <c r="A79" s="44" t="s">
        <v>405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17"/>
      <c r="Q79" s="17"/>
    </row>
    <row r="80" spans="1:21" s="2" customFormat="1" ht="15.75" customHeight="1" x14ac:dyDescent="0.3">
      <c r="A80" s="44" t="s">
        <v>406</v>
      </c>
      <c r="B80" s="33" t="s">
        <v>3</v>
      </c>
      <c r="C80" s="29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17"/>
      <c r="Q80" s="17"/>
    </row>
    <row r="81" spans="1:21" s="2" customFormat="1" ht="15.75" customHeight="1" x14ac:dyDescent="0.3">
      <c r="A81" s="49" t="s">
        <v>407</v>
      </c>
      <c r="B81" s="33" t="s">
        <v>2</v>
      </c>
      <c r="C81" s="29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17"/>
      <c r="Q81" s="17"/>
    </row>
    <row r="82" spans="1:21" s="2" customFormat="1" ht="15.75" customHeight="1" x14ac:dyDescent="0.3">
      <c r="A82" s="49" t="s">
        <v>408</v>
      </c>
      <c r="B82" s="33" t="s">
        <v>1</v>
      </c>
      <c r="C82" s="29">
        <f>22300+4500</f>
        <v>26800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26800</v>
      </c>
      <c r="P82" s="17"/>
      <c r="Q82" s="17"/>
    </row>
    <row r="83" spans="1:21" s="2" customFormat="1" ht="15.75" customHeight="1" x14ac:dyDescent="0.3">
      <c r="A83" s="44" t="s">
        <v>409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17"/>
      <c r="Q83" s="17"/>
    </row>
    <row r="84" spans="1:21" s="7" customFormat="1" ht="15.75" customHeight="1" x14ac:dyDescent="0.25">
      <c r="A84" s="44" t="s">
        <v>410</v>
      </c>
      <c r="B84" s="45" t="s">
        <v>269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8"/>
      <c r="Q84" s="58"/>
    </row>
    <row r="85" spans="1:21" s="2" customFormat="1" ht="30" customHeight="1" x14ac:dyDescent="0.3">
      <c r="A85" s="44" t="s">
        <v>411</v>
      </c>
      <c r="B85" s="60" t="s">
        <v>354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Q85" s="55"/>
      <c r="T85" s="55"/>
      <c r="U85" s="55"/>
    </row>
    <row r="86" spans="1:21" s="2" customFormat="1" ht="30" customHeight="1" x14ac:dyDescent="0.3">
      <c r="A86" s="44" t="s">
        <v>584</v>
      </c>
      <c r="B86" s="60" t="s">
        <v>582</v>
      </c>
      <c r="C86" s="29"/>
      <c r="D86" s="29"/>
      <c r="E86" s="29"/>
      <c r="F86" s="29">
        <v>754727</v>
      </c>
      <c r="G86" s="29"/>
      <c r="H86" s="29"/>
      <c r="I86" s="29"/>
      <c r="J86" s="29"/>
      <c r="K86" s="29"/>
      <c r="L86" s="29"/>
      <c r="M86" s="29"/>
      <c r="N86" s="29"/>
      <c r="O86" s="27">
        <f>C86+F86+I86+L86</f>
        <v>754727</v>
      </c>
      <c r="Q86" s="55"/>
      <c r="T86" s="55"/>
      <c r="U86" s="55"/>
    </row>
    <row r="87" spans="1:21" s="2" customFormat="1" ht="15.75" customHeight="1" x14ac:dyDescent="0.3">
      <c r="A87" s="27" t="s">
        <v>55</v>
      </c>
      <c r="B87" s="50" t="s">
        <v>117</v>
      </c>
      <c r="C87" s="27">
        <v>73000</v>
      </c>
      <c r="D87" s="27">
        <v>28345</v>
      </c>
      <c r="E87" s="27"/>
      <c r="F87" s="27">
        <f>824200+25500</f>
        <v>849700</v>
      </c>
      <c r="G87" s="27">
        <v>733435</v>
      </c>
      <c r="H87" s="27"/>
      <c r="I87" s="27"/>
      <c r="J87" s="27"/>
      <c r="K87" s="27"/>
      <c r="L87" s="27"/>
      <c r="M87" s="27"/>
      <c r="N87" s="27"/>
      <c r="O87" s="27">
        <f>C87+F87+I87+L87</f>
        <v>922700</v>
      </c>
      <c r="P87" s="17"/>
      <c r="Q87" s="17"/>
    </row>
    <row r="88" spans="1:21" s="1" customFormat="1" ht="31.5" customHeight="1" x14ac:dyDescent="0.3">
      <c r="A88" s="46"/>
      <c r="B88" s="123" t="s">
        <v>569</v>
      </c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7"/>
      <c r="Q88" s="17"/>
    </row>
    <row r="89" spans="1:21" s="7" customFormat="1" ht="15.75" customHeight="1" x14ac:dyDescent="0.25">
      <c r="A89" s="29"/>
      <c r="B89" s="42" t="s">
        <v>26</v>
      </c>
      <c r="C89" s="38">
        <f>C90+C97+C108+C111</f>
        <v>372139</v>
      </c>
      <c r="D89" s="38">
        <f t="shared" ref="D89:N89" si="17">D90+D97+D108+D111</f>
        <v>0</v>
      </c>
      <c r="E89" s="38">
        <f t="shared" si="17"/>
        <v>0</v>
      </c>
      <c r="F89" s="38">
        <f>F90+F97+F108+F111+F92</f>
        <v>454902</v>
      </c>
      <c r="G89" s="38">
        <f t="shared" si="17"/>
        <v>200680</v>
      </c>
      <c r="H89" s="38">
        <f t="shared" si="17"/>
        <v>0</v>
      </c>
      <c r="I89" s="38">
        <f t="shared" si="17"/>
        <v>0</v>
      </c>
      <c r="J89" s="38">
        <f t="shared" si="17"/>
        <v>0</v>
      </c>
      <c r="K89" s="38">
        <f t="shared" si="17"/>
        <v>0</v>
      </c>
      <c r="L89" s="38">
        <f t="shared" si="17"/>
        <v>1638164</v>
      </c>
      <c r="M89" s="38">
        <f t="shared" si="17"/>
        <v>0</v>
      </c>
      <c r="N89" s="38">
        <f t="shared" si="17"/>
        <v>0</v>
      </c>
      <c r="O89" s="38">
        <f>C89+F89+I89+L89</f>
        <v>2465205</v>
      </c>
      <c r="P89" s="58"/>
      <c r="Q89" s="58"/>
    </row>
    <row r="90" spans="1:21" s="7" customFormat="1" ht="30" customHeight="1" x14ac:dyDescent="0.25">
      <c r="A90" s="27" t="s">
        <v>56</v>
      </c>
      <c r="B90" s="42" t="s">
        <v>206</v>
      </c>
      <c r="C90" s="38">
        <f>SUM(C91,C94,C93,C96)</f>
        <v>0</v>
      </c>
      <c r="D90" s="38">
        <f t="shared" ref="D90:K90" si="18">SUM(D91,D94,D93,D96)</f>
        <v>0</v>
      </c>
      <c r="E90" s="38">
        <f t="shared" si="18"/>
        <v>0</v>
      </c>
      <c r="F90" s="38">
        <f t="shared" si="18"/>
        <v>0</v>
      </c>
      <c r="G90" s="38">
        <f t="shared" si="18"/>
        <v>0</v>
      </c>
      <c r="H90" s="38">
        <f t="shared" si="18"/>
        <v>0</v>
      </c>
      <c r="I90" s="38">
        <f t="shared" si="18"/>
        <v>0</v>
      </c>
      <c r="J90" s="38"/>
      <c r="K90" s="38">
        <f t="shared" si="18"/>
        <v>0</v>
      </c>
      <c r="L90" s="38">
        <f>SUM(L91:L96)</f>
        <v>289396</v>
      </c>
      <c r="M90" s="38">
        <f>SUM(M91:M96)</f>
        <v>0</v>
      </c>
      <c r="N90" s="38">
        <f>SUM(N91:N96)</f>
        <v>0</v>
      </c>
      <c r="O90" s="27">
        <f t="shared" ref="O90:O112" si="19">C90+F90+I90+L90</f>
        <v>289396</v>
      </c>
      <c r="P90" s="58"/>
      <c r="Q90" s="58"/>
    </row>
    <row r="91" spans="1:21" s="11" customFormat="1" ht="15.75" customHeight="1" x14ac:dyDescent="0.25">
      <c r="A91" s="44" t="s">
        <v>72</v>
      </c>
      <c r="B91" s="45" t="s">
        <v>177</v>
      </c>
      <c r="C91" s="37"/>
      <c r="D91" s="37"/>
      <c r="E91" s="37"/>
      <c r="F91" s="37"/>
      <c r="G91" s="37"/>
      <c r="H91" s="37"/>
      <c r="I91" s="37"/>
      <c r="J91" s="37"/>
      <c r="K91" s="37"/>
      <c r="L91" s="37">
        <f>25000+10000</f>
        <v>35000</v>
      </c>
      <c r="M91" s="37"/>
      <c r="N91" s="37"/>
      <c r="O91" s="27">
        <f t="shared" si="19"/>
        <v>35000</v>
      </c>
      <c r="P91" s="58"/>
      <c r="Q91" s="58"/>
    </row>
    <row r="92" spans="1:21" s="11" customFormat="1" ht="29.25" customHeight="1" x14ac:dyDescent="0.25">
      <c r="A92" s="51" t="s">
        <v>73</v>
      </c>
      <c r="B92" s="45" t="s">
        <v>447</v>
      </c>
      <c r="C92" s="73"/>
      <c r="D92" s="73"/>
      <c r="E92" s="73"/>
      <c r="F92" s="73">
        <f>10825+4775</f>
        <v>15600</v>
      </c>
      <c r="G92" s="73"/>
      <c r="H92" s="73"/>
      <c r="I92" s="73"/>
      <c r="J92" s="73"/>
      <c r="K92" s="73"/>
      <c r="L92" s="73">
        <f>63790+35334-2900-1500-10000</f>
        <v>84724</v>
      </c>
      <c r="M92" s="73"/>
      <c r="N92" s="73"/>
      <c r="O92" s="27">
        <f t="shared" si="19"/>
        <v>100324</v>
      </c>
      <c r="P92" s="58"/>
      <c r="Q92" s="58"/>
    </row>
    <row r="93" spans="1:21" s="8" customFormat="1" ht="15.75" customHeight="1" x14ac:dyDescent="0.25">
      <c r="A93" s="51" t="s">
        <v>74</v>
      </c>
      <c r="B93" s="52" t="s">
        <v>178</v>
      </c>
      <c r="C93" s="34"/>
      <c r="D93" s="34"/>
      <c r="E93" s="34"/>
      <c r="F93" s="34"/>
      <c r="G93" s="34"/>
      <c r="H93" s="34"/>
      <c r="I93" s="34"/>
      <c r="J93" s="34"/>
      <c r="K93" s="34"/>
      <c r="L93" s="34">
        <f>1000</f>
        <v>1000</v>
      </c>
      <c r="M93" s="34"/>
      <c r="N93" s="34"/>
      <c r="O93" s="27">
        <f t="shared" si="19"/>
        <v>1000</v>
      </c>
      <c r="P93" s="57"/>
      <c r="Q93" s="57"/>
    </row>
    <row r="94" spans="1:21" s="11" customFormat="1" ht="30" customHeight="1" x14ac:dyDescent="0.25">
      <c r="A94" s="44" t="s">
        <v>118</v>
      </c>
      <c r="B94" s="45" t="s">
        <v>448</v>
      </c>
      <c r="C94" s="37"/>
      <c r="D94" s="37"/>
      <c r="E94" s="37"/>
      <c r="F94" s="37"/>
      <c r="G94" s="37"/>
      <c r="H94" s="37"/>
      <c r="I94" s="37"/>
      <c r="J94" s="37"/>
      <c r="K94" s="37"/>
      <c r="L94" s="37">
        <f>55000+75272</f>
        <v>130272</v>
      </c>
      <c r="M94" s="37"/>
      <c r="N94" s="37"/>
      <c r="O94" s="27">
        <f t="shared" si="19"/>
        <v>130272</v>
      </c>
      <c r="P94" s="58"/>
      <c r="Q94" s="58"/>
    </row>
    <row r="95" spans="1:21" s="11" customFormat="1" ht="30" customHeight="1" x14ac:dyDescent="0.25">
      <c r="A95" s="44" t="s">
        <v>176</v>
      </c>
      <c r="B95" s="45" t="s">
        <v>413</v>
      </c>
      <c r="C95" s="37"/>
      <c r="D95" s="37"/>
      <c r="E95" s="37"/>
      <c r="F95" s="37"/>
      <c r="G95" s="37"/>
      <c r="H95" s="37"/>
      <c r="I95" s="37"/>
      <c r="J95" s="37"/>
      <c r="K95" s="37"/>
      <c r="L95" s="37">
        <f>10000+2900+1500</f>
        <v>14400</v>
      </c>
      <c r="M95" s="37"/>
      <c r="N95" s="37"/>
      <c r="O95" s="27">
        <f t="shared" si="19"/>
        <v>14400</v>
      </c>
      <c r="P95" s="58"/>
      <c r="Q95" s="58"/>
    </row>
    <row r="96" spans="1:21" s="8" customFormat="1" ht="15.75" customHeight="1" x14ac:dyDescent="0.25">
      <c r="A96" s="44" t="s">
        <v>412</v>
      </c>
      <c r="B96" s="45" t="s">
        <v>28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>20210+3790</f>
        <v>24000</v>
      </c>
      <c r="M96" s="29"/>
      <c r="N96" s="29"/>
      <c r="O96" s="27">
        <f t="shared" si="19"/>
        <v>24000</v>
      </c>
      <c r="P96" s="57"/>
      <c r="Q96" s="57"/>
    </row>
    <row r="97" spans="1:21" s="9" customFormat="1" ht="15.75" customHeight="1" x14ac:dyDescent="0.25">
      <c r="A97" s="27" t="s">
        <v>57</v>
      </c>
      <c r="B97" s="42" t="s">
        <v>33</v>
      </c>
      <c r="C97" s="27">
        <f>SUM(C98:C107)</f>
        <v>363739</v>
      </c>
      <c r="D97" s="27">
        <f t="shared" ref="D97:N97" si="20">SUM(D98:D106)</f>
        <v>0</v>
      </c>
      <c r="E97" s="27">
        <f t="shared" si="20"/>
        <v>0</v>
      </c>
      <c r="F97" s="27">
        <f>SUM(F98:F107)</f>
        <v>150052</v>
      </c>
      <c r="G97" s="27">
        <f t="shared" si="20"/>
        <v>1770</v>
      </c>
      <c r="H97" s="27">
        <f t="shared" si="20"/>
        <v>0</v>
      </c>
      <c r="I97" s="27">
        <f>SUM(I98:I107)</f>
        <v>0</v>
      </c>
      <c r="J97" s="27">
        <f t="shared" si="20"/>
        <v>0</v>
      </c>
      <c r="K97" s="27">
        <f t="shared" si="20"/>
        <v>0</v>
      </c>
      <c r="L97" s="27">
        <f>SUM(L98:L107)</f>
        <v>1330000</v>
      </c>
      <c r="M97" s="27">
        <f t="shared" si="20"/>
        <v>0</v>
      </c>
      <c r="N97" s="27">
        <f t="shared" si="20"/>
        <v>0</v>
      </c>
      <c r="O97" s="27">
        <f>C97+F97+I97+L97</f>
        <v>1843791</v>
      </c>
      <c r="P97" s="58"/>
      <c r="Q97" s="58"/>
    </row>
    <row r="98" spans="1:21" s="11" customFormat="1" ht="30.75" customHeight="1" x14ac:dyDescent="0.25">
      <c r="A98" s="28" t="s">
        <v>152</v>
      </c>
      <c r="B98" s="45" t="s">
        <v>449</v>
      </c>
      <c r="C98" s="37">
        <f>140000+24442+13427</f>
        <v>177869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7">
        <f t="shared" si="19"/>
        <v>177869</v>
      </c>
      <c r="P98" s="58"/>
      <c r="Q98" s="58"/>
    </row>
    <row r="99" spans="1:21" s="7" customFormat="1" ht="29.25" customHeight="1" x14ac:dyDescent="0.25">
      <c r="A99" s="44" t="s">
        <v>75</v>
      </c>
      <c r="B99" s="45" t="s">
        <v>450</v>
      </c>
      <c r="C99" s="37">
        <v>100000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7">
        <f>C99+F99+I99+L99</f>
        <v>100000</v>
      </c>
      <c r="Q99" s="41"/>
      <c r="T99" s="41"/>
      <c r="U99" s="41"/>
    </row>
    <row r="100" spans="1:21" s="7" customFormat="1" ht="27.75" customHeight="1" x14ac:dyDescent="0.25">
      <c r="A100" s="28" t="s">
        <v>76</v>
      </c>
      <c r="B100" s="45" t="s">
        <v>349</v>
      </c>
      <c r="C100" s="37">
        <v>10000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7">
        <f>C100+F100+I100+L100</f>
        <v>10000</v>
      </c>
      <c r="Q100" s="41"/>
      <c r="T100" s="41"/>
      <c r="U100" s="41"/>
    </row>
    <row r="101" spans="1:21" s="7" customFormat="1" ht="16.5" customHeight="1" x14ac:dyDescent="0.25">
      <c r="A101" s="28" t="s">
        <v>164</v>
      </c>
      <c r="B101" s="33" t="s">
        <v>451</v>
      </c>
      <c r="C101" s="37">
        <f>90000-20000</f>
        <v>70000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7">
        <f>C101+F101+I101+L101</f>
        <v>70000</v>
      </c>
      <c r="Q101" s="41"/>
      <c r="T101" s="41"/>
      <c r="U101" s="41"/>
    </row>
    <row r="102" spans="1:21" s="7" customFormat="1" ht="16.5" customHeight="1" x14ac:dyDescent="0.25">
      <c r="A102" s="28" t="s">
        <v>270</v>
      </c>
      <c r="B102" s="45" t="s">
        <v>452</v>
      </c>
      <c r="C102" s="37">
        <f>30000-29130</f>
        <v>870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7">
        <f>C102+F102+I102+L102</f>
        <v>870</v>
      </c>
      <c r="Q102" s="41"/>
      <c r="T102" s="41"/>
      <c r="U102" s="41"/>
    </row>
    <row r="103" spans="1:21" s="7" customFormat="1" ht="15.75" customHeight="1" x14ac:dyDescent="0.25">
      <c r="A103" s="28" t="s">
        <v>271</v>
      </c>
      <c r="B103" s="45" t="s">
        <v>193</v>
      </c>
      <c r="C103" s="37"/>
      <c r="D103" s="38"/>
      <c r="E103" s="38"/>
      <c r="F103" s="37">
        <v>2000</v>
      </c>
      <c r="G103" s="37">
        <v>1770</v>
      </c>
      <c r="H103" s="37"/>
      <c r="I103" s="37"/>
      <c r="J103" s="38"/>
      <c r="K103" s="37"/>
      <c r="L103" s="38"/>
      <c r="M103" s="38"/>
      <c r="N103" s="38"/>
      <c r="O103" s="27">
        <f t="shared" si="19"/>
        <v>2000</v>
      </c>
      <c r="P103" s="58"/>
      <c r="Q103" s="58"/>
    </row>
    <row r="104" spans="1:21" s="11" customFormat="1" ht="16.5" customHeight="1" x14ac:dyDescent="0.25">
      <c r="A104" s="28" t="s">
        <v>346</v>
      </c>
      <c r="B104" s="45" t="s">
        <v>414</v>
      </c>
      <c r="C104" s="37">
        <v>5000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7">
        <f>C104+F104+I104+L104</f>
        <v>5000</v>
      </c>
      <c r="P104" s="58"/>
      <c r="Q104" s="58"/>
    </row>
    <row r="105" spans="1:21" s="11" customFormat="1" ht="15.75" customHeight="1" x14ac:dyDescent="0.25">
      <c r="A105" s="28" t="s">
        <v>415</v>
      </c>
      <c r="B105" s="45" t="s">
        <v>153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37">
        <f>794976+425024+110000</f>
        <v>1330000</v>
      </c>
      <c r="M105" s="37"/>
      <c r="N105" s="37"/>
      <c r="O105" s="27">
        <f>C105+F105+I105+L105</f>
        <v>1330000</v>
      </c>
      <c r="P105" s="58"/>
      <c r="Q105" s="58"/>
    </row>
    <row r="106" spans="1:21" s="11" customFormat="1" ht="13.8" x14ac:dyDescent="0.25">
      <c r="A106" s="28" t="s">
        <v>515</v>
      </c>
      <c r="B106" s="45" t="s">
        <v>516</v>
      </c>
      <c r="C106" s="37"/>
      <c r="D106" s="37"/>
      <c r="E106" s="37"/>
      <c r="F106" s="37">
        <f>163000-28000</f>
        <v>135000</v>
      </c>
      <c r="G106" s="37"/>
      <c r="H106" s="37"/>
      <c r="I106" s="37"/>
      <c r="J106" s="37"/>
      <c r="K106" s="37"/>
      <c r="L106" s="37"/>
      <c r="M106" s="37"/>
      <c r="N106" s="37" t="s">
        <v>345</v>
      </c>
      <c r="O106" s="27">
        <f>C106+F106+I106+L106</f>
        <v>135000</v>
      </c>
      <c r="P106" s="58"/>
      <c r="Q106" s="58"/>
    </row>
    <row r="107" spans="1:21" s="11" customFormat="1" ht="27.6" x14ac:dyDescent="0.25">
      <c r="A107" s="28" t="s">
        <v>581</v>
      </c>
      <c r="B107" s="45" t="s">
        <v>583</v>
      </c>
      <c r="C107" s="37"/>
      <c r="D107" s="37"/>
      <c r="E107" s="37"/>
      <c r="F107" s="37">
        <v>13052</v>
      </c>
      <c r="G107" s="37"/>
      <c r="H107" s="37"/>
      <c r="I107" s="37"/>
      <c r="J107" s="37"/>
      <c r="K107" s="37"/>
      <c r="L107" s="37"/>
      <c r="M107" s="37"/>
      <c r="N107" s="37"/>
      <c r="O107" s="27">
        <f>C107+F107+I107+L107</f>
        <v>13052</v>
      </c>
      <c r="P107" s="58"/>
      <c r="Q107" s="58"/>
    </row>
    <row r="108" spans="1:21" s="4" customFormat="1" ht="28.5" customHeight="1" x14ac:dyDescent="0.25">
      <c r="A108" s="27" t="s">
        <v>58</v>
      </c>
      <c r="B108" s="42" t="s">
        <v>203</v>
      </c>
      <c r="C108" s="29">
        <f t="shared" ref="C108:N108" si="21">SUM(C109:C110)</f>
        <v>0</v>
      </c>
      <c r="D108" s="29">
        <f t="shared" si="21"/>
        <v>0</v>
      </c>
      <c r="E108" s="29">
        <f t="shared" si="21"/>
        <v>0</v>
      </c>
      <c r="F108" s="29">
        <f t="shared" si="21"/>
        <v>0</v>
      </c>
      <c r="G108" s="29">
        <f t="shared" si="21"/>
        <v>0</v>
      </c>
      <c r="H108" s="29">
        <f t="shared" si="21"/>
        <v>0</v>
      </c>
      <c r="I108" s="29">
        <f t="shared" si="21"/>
        <v>0</v>
      </c>
      <c r="J108" s="29">
        <f t="shared" si="21"/>
        <v>0</v>
      </c>
      <c r="K108" s="29">
        <f t="shared" si="21"/>
        <v>0</v>
      </c>
      <c r="L108" s="27">
        <f t="shared" si="21"/>
        <v>13268</v>
      </c>
      <c r="M108" s="29">
        <f t="shared" si="21"/>
        <v>0</v>
      </c>
      <c r="N108" s="29">
        <f t="shared" si="21"/>
        <v>0</v>
      </c>
      <c r="O108" s="27">
        <f t="shared" si="19"/>
        <v>13268</v>
      </c>
      <c r="P108" s="57"/>
      <c r="Q108" s="57"/>
    </row>
    <row r="109" spans="1:21" s="10" customFormat="1" ht="15.75" customHeight="1" x14ac:dyDescent="0.3">
      <c r="A109" s="49" t="s">
        <v>77</v>
      </c>
      <c r="B109" s="33" t="s">
        <v>355</v>
      </c>
      <c r="C109" s="37"/>
      <c r="D109" s="37"/>
      <c r="E109" s="37"/>
      <c r="F109" s="37"/>
      <c r="G109" s="37"/>
      <c r="H109" s="37"/>
      <c r="I109" s="37"/>
      <c r="J109" s="37"/>
      <c r="K109" s="37"/>
      <c r="L109" s="37">
        <v>916</v>
      </c>
      <c r="M109" s="37"/>
      <c r="N109" s="37"/>
      <c r="O109" s="27">
        <f t="shared" si="19"/>
        <v>916</v>
      </c>
      <c r="P109" s="59"/>
      <c r="Q109" s="59"/>
    </row>
    <row r="110" spans="1:21" s="10" customFormat="1" ht="15.75" customHeight="1" x14ac:dyDescent="0.3">
      <c r="A110" s="49" t="s">
        <v>78</v>
      </c>
      <c r="B110" s="33" t="s">
        <v>356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>
        <v>12352</v>
      </c>
      <c r="M110" s="37"/>
      <c r="N110" s="37"/>
      <c r="O110" s="27">
        <f t="shared" si="19"/>
        <v>12352</v>
      </c>
      <c r="P110" s="59"/>
      <c r="Q110" s="59"/>
    </row>
    <row r="111" spans="1:21" s="4" customFormat="1" ht="16.5" customHeight="1" x14ac:dyDescent="0.25">
      <c r="A111" s="77" t="s">
        <v>159</v>
      </c>
      <c r="B111" s="50" t="s">
        <v>160</v>
      </c>
      <c r="C111" s="38">
        <f>SUM(C112,C113)</f>
        <v>8400</v>
      </c>
      <c r="D111" s="38">
        <f t="shared" ref="D111:O111" si="22">SUM(D112,D113)</f>
        <v>0</v>
      </c>
      <c r="E111" s="38">
        <f t="shared" si="22"/>
        <v>0</v>
      </c>
      <c r="F111" s="38">
        <f t="shared" si="22"/>
        <v>289250</v>
      </c>
      <c r="G111" s="38">
        <f t="shared" si="22"/>
        <v>198910</v>
      </c>
      <c r="H111" s="38">
        <f t="shared" si="22"/>
        <v>0</v>
      </c>
      <c r="I111" s="38">
        <f t="shared" si="22"/>
        <v>0</v>
      </c>
      <c r="J111" s="38">
        <f t="shared" si="22"/>
        <v>0</v>
      </c>
      <c r="K111" s="38">
        <f t="shared" si="22"/>
        <v>0</v>
      </c>
      <c r="L111" s="38">
        <f t="shared" si="22"/>
        <v>5500</v>
      </c>
      <c r="M111" s="38">
        <f t="shared" si="22"/>
        <v>0</v>
      </c>
      <c r="N111" s="38">
        <f t="shared" si="22"/>
        <v>0</v>
      </c>
      <c r="O111" s="38">
        <f t="shared" si="22"/>
        <v>303150</v>
      </c>
      <c r="P111" s="57"/>
      <c r="Q111" s="57"/>
    </row>
    <row r="112" spans="1:21" s="7" customFormat="1" ht="46.5" customHeight="1" x14ac:dyDescent="0.25">
      <c r="A112" s="44" t="s">
        <v>79</v>
      </c>
      <c r="B112" s="95" t="s">
        <v>388</v>
      </c>
      <c r="C112" s="29">
        <f>7900+500</f>
        <v>8400</v>
      </c>
      <c r="D112" s="29"/>
      <c r="E112" s="29"/>
      <c r="F112" s="29">
        <v>219120</v>
      </c>
      <c r="G112" s="29">
        <v>172330</v>
      </c>
      <c r="H112" s="29"/>
      <c r="I112" s="29"/>
      <c r="J112" s="29"/>
      <c r="K112" s="29"/>
      <c r="L112" s="29">
        <v>5500</v>
      </c>
      <c r="M112" s="29"/>
      <c r="N112" s="29"/>
      <c r="O112" s="27">
        <f t="shared" si="19"/>
        <v>233020</v>
      </c>
      <c r="P112" s="58"/>
      <c r="Q112" s="58"/>
      <c r="R112" s="4"/>
      <c r="S112" s="4"/>
      <c r="T112" s="4"/>
      <c r="U112" s="4"/>
    </row>
    <row r="113" spans="1:21" s="7" customFormat="1" ht="31.5" customHeight="1" x14ac:dyDescent="0.25">
      <c r="A113" s="44" t="s">
        <v>150</v>
      </c>
      <c r="B113" s="76" t="s">
        <v>357</v>
      </c>
      <c r="C113" s="37"/>
      <c r="D113" s="38"/>
      <c r="E113" s="38"/>
      <c r="F113" s="37">
        <v>70130</v>
      </c>
      <c r="G113" s="37">
        <f>43160-16580</f>
        <v>26580</v>
      </c>
      <c r="H113" s="38"/>
      <c r="I113" s="38"/>
      <c r="J113" s="38"/>
      <c r="K113" s="38"/>
      <c r="L113" s="37"/>
      <c r="M113" s="38"/>
      <c r="N113" s="38"/>
      <c r="O113" s="27">
        <f>C113+F113+I113+L113</f>
        <v>70130</v>
      </c>
      <c r="P113" s="58"/>
      <c r="Q113" s="58"/>
      <c r="R113" s="4"/>
      <c r="S113" s="4"/>
      <c r="T113" s="4"/>
      <c r="U113" s="4"/>
    </row>
    <row r="114" spans="1:21" s="1" customFormat="1" ht="15.75" customHeight="1" x14ac:dyDescent="0.3">
      <c r="A114" s="46"/>
      <c r="B114" s="123" t="s">
        <v>265</v>
      </c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7"/>
      <c r="Q114" s="17"/>
    </row>
    <row r="115" spans="1:21" s="7" customFormat="1" ht="15.75" customHeight="1" x14ac:dyDescent="0.25">
      <c r="A115" s="29"/>
      <c r="B115" s="42" t="s">
        <v>26</v>
      </c>
      <c r="C115" s="38">
        <f t="shared" ref="C115:N115" si="23">SUM(C116,C117,C118,C119,C120,C121,C122,C123,C127,C140)</f>
        <v>3987736</v>
      </c>
      <c r="D115" s="38">
        <f t="shared" si="23"/>
        <v>3021215</v>
      </c>
      <c r="E115" s="38">
        <f t="shared" si="23"/>
        <v>0</v>
      </c>
      <c r="F115" s="38">
        <f t="shared" si="23"/>
        <v>50310</v>
      </c>
      <c r="G115" s="38">
        <f t="shared" si="23"/>
        <v>0</v>
      </c>
      <c r="H115" s="38">
        <f t="shared" si="23"/>
        <v>0</v>
      </c>
      <c r="I115" s="38">
        <f t="shared" si="23"/>
        <v>0</v>
      </c>
      <c r="J115" s="38">
        <f t="shared" si="23"/>
        <v>0</v>
      </c>
      <c r="K115" s="38">
        <f t="shared" si="23"/>
        <v>0</v>
      </c>
      <c r="L115" s="38">
        <f t="shared" si="23"/>
        <v>123426</v>
      </c>
      <c r="M115" s="38">
        <f t="shared" si="23"/>
        <v>0</v>
      </c>
      <c r="N115" s="38">
        <f t="shared" si="23"/>
        <v>0</v>
      </c>
      <c r="O115" s="38">
        <f>C115+F115+I115+L115</f>
        <v>4161472</v>
      </c>
      <c r="P115" s="58"/>
      <c r="Q115" s="58"/>
    </row>
    <row r="116" spans="1:21" s="4" customFormat="1" ht="15.75" customHeight="1" x14ac:dyDescent="0.25">
      <c r="A116" s="27" t="s">
        <v>59</v>
      </c>
      <c r="B116" s="50" t="s">
        <v>14</v>
      </c>
      <c r="C116" s="27">
        <f>948500+52867+8000</f>
        <v>1009367</v>
      </c>
      <c r="D116" s="27">
        <f>827500+52111</f>
        <v>879611</v>
      </c>
      <c r="E116" s="27"/>
      <c r="F116" s="27">
        <v>32164</v>
      </c>
      <c r="G116" s="27"/>
      <c r="H116" s="27"/>
      <c r="I116" s="27"/>
      <c r="J116" s="27"/>
      <c r="K116" s="27"/>
      <c r="L116" s="27">
        <f>2000+900+1000+2000+1800</f>
        <v>7700</v>
      </c>
      <c r="M116" s="27"/>
      <c r="N116" s="27"/>
      <c r="O116" s="27">
        <f>C116+F116+I116+L116</f>
        <v>1049231</v>
      </c>
      <c r="P116" s="57"/>
      <c r="Q116" s="57"/>
    </row>
    <row r="117" spans="1:21" s="4" customFormat="1" ht="15.75" customHeight="1" x14ac:dyDescent="0.25">
      <c r="A117" s="27" t="s">
        <v>89</v>
      </c>
      <c r="B117" s="42" t="s">
        <v>15</v>
      </c>
      <c r="C117" s="27">
        <f>278100+10649+15600+3145</f>
        <v>307494</v>
      </c>
      <c r="D117" s="27">
        <f>236000+10497</f>
        <v>246497</v>
      </c>
      <c r="E117" s="27"/>
      <c r="F117" s="27"/>
      <c r="G117" s="27"/>
      <c r="H117" s="27"/>
      <c r="I117" s="27"/>
      <c r="J117" s="27"/>
      <c r="K117" s="27"/>
      <c r="L117" s="27">
        <f>15070+8000+3500</f>
        <v>26570</v>
      </c>
      <c r="M117" s="27"/>
      <c r="N117" s="27"/>
      <c r="O117" s="27">
        <f t="shared" ref="O117:O143" si="24">C117+F117+I117+L117</f>
        <v>334064</v>
      </c>
      <c r="P117" s="57"/>
      <c r="Q117" s="57"/>
    </row>
    <row r="118" spans="1:21" s="9" customFormat="1" ht="15.75" customHeight="1" x14ac:dyDescent="0.25">
      <c r="A118" s="27" t="s">
        <v>90</v>
      </c>
      <c r="B118" s="42" t="s">
        <v>16</v>
      </c>
      <c r="C118" s="27">
        <f>905400+37273+12170+8000</f>
        <v>962843</v>
      </c>
      <c r="D118" s="27">
        <f>786000+36740</f>
        <v>822740</v>
      </c>
      <c r="E118" s="27"/>
      <c r="F118" s="27"/>
      <c r="G118" s="27"/>
      <c r="H118" s="27"/>
      <c r="I118" s="27"/>
      <c r="J118" s="27"/>
      <c r="K118" s="27"/>
      <c r="L118" s="27">
        <f>12000+18000+13000+3000+8000</f>
        <v>54000</v>
      </c>
      <c r="M118" s="27"/>
      <c r="N118" s="27"/>
      <c r="O118" s="27">
        <f t="shared" si="24"/>
        <v>1016843</v>
      </c>
      <c r="P118" s="58"/>
      <c r="Q118" s="58"/>
    </row>
    <row r="119" spans="1:21" s="9" customFormat="1" ht="15.75" customHeight="1" x14ac:dyDescent="0.25">
      <c r="A119" s="27" t="s">
        <v>91</v>
      </c>
      <c r="B119" s="42" t="s">
        <v>119</v>
      </c>
      <c r="C119" s="27">
        <f>165300+9128+3000</f>
        <v>177428</v>
      </c>
      <c r="D119" s="27">
        <f>137000+8998</f>
        <v>145998</v>
      </c>
      <c r="E119" s="27"/>
      <c r="F119" s="27"/>
      <c r="G119" s="27"/>
      <c r="H119" s="27"/>
      <c r="I119" s="27"/>
      <c r="J119" s="27"/>
      <c r="K119" s="27"/>
      <c r="L119" s="27">
        <f>200+500</f>
        <v>700</v>
      </c>
      <c r="M119" s="27"/>
      <c r="N119" s="27"/>
      <c r="O119" s="27">
        <f t="shared" si="24"/>
        <v>178128</v>
      </c>
      <c r="P119" s="58"/>
      <c r="Q119" s="58"/>
    </row>
    <row r="120" spans="1:21" s="9" customFormat="1" ht="15.75" customHeight="1" x14ac:dyDescent="0.25">
      <c r="A120" s="27" t="s">
        <v>92</v>
      </c>
      <c r="B120" s="42" t="s">
        <v>120</v>
      </c>
      <c r="C120" s="27">
        <f>106600+4564</f>
        <v>111164</v>
      </c>
      <c r="D120" s="27">
        <f>83000+4499</f>
        <v>87499</v>
      </c>
      <c r="E120" s="27"/>
      <c r="F120" s="27"/>
      <c r="G120" s="27"/>
      <c r="H120" s="27"/>
      <c r="I120" s="27"/>
      <c r="J120" s="27"/>
      <c r="K120" s="27"/>
      <c r="L120" s="27">
        <f>700</f>
        <v>700</v>
      </c>
      <c r="M120" s="27"/>
      <c r="N120" s="27"/>
      <c r="O120" s="27">
        <f t="shared" si="24"/>
        <v>111864</v>
      </c>
      <c r="P120" s="58"/>
      <c r="Q120" s="58"/>
    </row>
    <row r="121" spans="1:21" s="9" customFormat="1" ht="15.75" customHeight="1" x14ac:dyDescent="0.25">
      <c r="A121" s="27" t="s">
        <v>93</v>
      </c>
      <c r="B121" s="42" t="s">
        <v>122</v>
      </c>
      <c r="C121" s="27">
        <f>163100+7607</f>
        <v>170707</v>
      </c>
      <c r="D121" s="27">
        <f>128000+7498</f>
        <v>135498</v>
      </c>
      <c r="E121" s="27"/>
      <c r="F121" s="27"/>
      <c r="G121" s="27"/>
      <c r="H121" s="27"/>
      <c r="I121" s="27"/>
      <c r="J121" s="27"/>
      <c r="K121" s="27"/>
      <c r="L121" s="27">
        <f>9000-3000</f>
        <v>6000</v>
      </c>
      <c r="M121" s="27"/>
      <c r="N121" s="27"/>
      <c r="O121" s="27">
        <f t="shared" si="24"/>
        <v>176707</v>
      </c>
      <c r="P121" s="58"/>
      <c r="Q121" s="58"/>
    </row>
    <row r="122" spans="1:21" s="9" customFormat="1" ht="15.75" customHeight="1" x14ac:dyDescent="0.25">
      <c r="A122" s="27" t="s">
        <v>123</v>
      </c>
      <c r="B122" s="42" t="s">
        <v>121</v>
      </c>
      <c r="C122" s="27">
        <f>156600+9508</f>
        <v>166108</v>
      </c>
      <c r="D122" s="27">
        <f>140000+9372</f>
        <v>149372</v>
      </c>
      <c r="E122" s="27"/>
      <c r="F122" s="27"/>
      <c r="G122" s="27"/>
      <c r="H122" s="27"/>
      <c r="I122" s="27"/>
      <c r="J122" s="27"/>
      <c r="K122" s="27"/>
      <c r="L122" s="27">
        <v>2336</v>
      </c>
      <c r="M122" s="27"/>
      <c r="N122" s="27"/>
      <c r="O122" s="27">
        <f t="shared" si="24"/>
        <v>168444</v>
      </c>
      <c r="P122" s="58"/>
      <c r="Q122" s="58"/>
    </row>
    <row r="123" spans="1:21" s="2" customFormat="1" ht="17.25" customHeight="1" x14ac:dyDescent="0.3">
      <c r="A123" s="27" t="s">
        <v>124</v>
      </c>
      <c r="B123" s="50" t="s">
        <v>358</v>
      </c>
      <c r="C123" s="27">
        <f>SUM(C124:C126)</f>
        <v>666800</v>
      </c>
      <c r="D123" s="27">
        <f t="shared" ref="D123:I123" si="25">SUM(D124:D126)</f>
        <v>554000</v>
      </c>
      <c r="E123" s="27">
        <f t="shared" si="25"/>
        <v>0</v>
      </c>
      <c r="F123" s="27"/>
      <c r="G123" s="27"/>
      <c r="H123" s="27">
        <f t="shared" si="25"/>
        <v>0</v>
      </c>
      <c r="I123" s="27">
        <f t="shared" si="25"/>
        <v>0</v>
      </c>
      <c r="J123" s="27"/>
      <c r="K123" s="27">
        <f>SUM(K124:K126)</f>
        <v>0</v>
      </c>
      <c r="L123" s="27">
        <f>SUM(L124:L126)</f>
        <v>25420</v>
      </c>
      <c r="M123" s="27">
        <f>SUM(M124:M126)</f>
        <v>0</v>
      </c>
      <c r="N123" s="27">
        <f>SUM(N124:N126)</f>
        <v>0</v>
      </c>
      <c r="O123" s="27">
        <f t="shared" si="24"/>
        <v>692220</v>
      </c>
      <c r="P123" s="17"/>
      <c r="Q123" s="17"/>
    </row>
    <row r="124" spans="1:21" s="2" customFormat="1" ht="15.75" customHeight="1" x14ac:dyDescent="0.3">
      <c r="A124" s="44" t="s">
        <v>272</v>
      </c>
      <c r="B124" s="33" t="s">
        <v>359</v>
      </c>
      <c r="C124" s="29">
        <v>591800</v>
      </c>
      <c r="D124" s="29">
        <v>554000</v>
      </c>
      <c r="E124" s="29"/>
      <c r="F124" s="27"/>
      <c r="G124" s="29"/>
      <c r="H124" s="29"/>
      <c r="I124" s="27"/>
      <c r="J124" s="27"/>
      <c r="K124" s="29"/>
      <c r="L124" s="29">
        <f>1300+300+23820</f>
        <v>25420</v>
      </c>
      <c r="M124" s="29"/>
      <c r="N124" s="29"/>
      <c r="O124" s="27">
        <f t="shared" si="24"/>
        <v>617220</v>
      </c>
      <c r="P124" s="17"/>
      <c r="Q124" s="17"/>
    </row>
    <row r="125" spans="1:21" s="2" customFormat="1" ht="15.75" customHeight="1" x14ac:dyDescent="0.3">
      <c r="A125" s="44" t="s">
        <v>273</v>
      </c>
      <c r="B125" s="33" t="s">
        <v>306</v>
      </c>
      <c r="C125" s="37">
        <v>25000</v>
      </c>
      <c r="D125" s="29"/>
      <c r="E125" s="29"/>
      <c r="F125" s="38"/>
      <c r="G125" s="29"/>
      <c r="H125" s="29"/>
      <c r="I125" s="38"/>
      <c r="J125" s="38"/>
      <c r="K125" s="29"/>
      <c r="L125" s="38"/>
      <c r="M125" s="29"/>
      <c r="N125" s="29"/>
      <c r="O125" s="27">
        <f t="shared" si="24"/>
        <v>25000</v>
      </c>
      <c r="P125" s="17"/>
      <c r="Q125" s="17"/>
    </row>
    <row r="126" spans="1:21" s="2" customFormat="1" ht="15.75" customHeight="1" x14ac:dyDescent="0.3">
      <c r="A126" s="44" t="s">
        <v>274</v>
      </c>
      <c r="B126" s="33" t="s">
        <v>29</v>
      </c>
      <c r="C126" s="37">
        <v>50000</v>
      </c>
      <c r="D126" s="29"/>
      <c r="E126" s="29"/>
      <c r="F126" s="38"/>
      <c r="G126" s="29"/>
      <c r="H126" s="29"/>
      <c r="I126" s="38"/>
      <c r="J126" s="38"/>
      <c r="K126" s="29"/>
      <c r="L126" s="38"/>
      <c r="M126" s="29"/>
      <c r="N126" s="29"/>
      <c r="O126" s="27">
        <f t="shared" si="24"/>
        <v>50000</v>
      </c>
      <c r="P126" s="17"/>
      <c r="Q126" s="17"/>
    </row>
    <row r="127" spans="1:21" s="7" customFormat="1" ht="15.75" customHeight="1" x14ac:dyDescent="0.25">
      <c r="A127" s="27" t="s">
        <v>125</v>
      </c>
      <c r="B127" s="42" t="s">
        <v>21</v>
      </c>
      <c r="C127" s="38">
        <f t="shared" ref="C127:N127" si="26">SUM(C128:C139)</f>
        <v>268825</v>
      </c>
      <c r="D127" s="38">
        <f t="shared" si="26"/>
        <v>0</v>
      </c>
      <c r="E127" s="38">
        <f t="shared" si="26"/>
        <v>0</v>
      </c>
      <c r="F127" s="38">
        <f t="shared" si="26"/>
        <v>18146</v>
      </c>
      <c r="G127" s="38">
        <f t="shared" si="26"/>
        <v>0</v>
      </c>
      <c r="H127" s="38">
        <f t="shared" si="26"/>
        <v>0</v>
      </c>
      <c r="I127" s="38">
        <f t="shared" si="26"/>
        <v>0</v>
      </c>
      <c r="J127" s="38">
        <f t="shared" si="26"/>
        <v>0</v>
      </c>
      <c r="K127" s="38">
        <f t="shared" si="26"/>
        <v>0</v>
      </c>
      <c r="L127" s="38">
        <f t="shared" si="26"/>
        <v>0</v>
      </c>
      <c r="M127" s="38">
        <f t="shared" si="26"/>
        <v>0</v>
      </c>
      <c r="N127" s="38">
        <f t="shared" si="26"/>
        <v>0</v>
      </c>
      <c r="O127" s="27">
        <f>C127+F127+I127+L127</f>
        <v>286971</v>
      </c>
      <c r="P127" s="58"/>
      <c r="Q127" s="58"/>
    </row>
    <row r="128" spans="1:21" s="11" customFormat="1" ht="15.75" customHeight="1" x14ac:dyDescent="0.25">
      <c r="A128" s="44" t="s">
        <v>275</v>
      </c>
      <c r="B128" s="45" t="s">
        <v>204</v>
      </c>
      <c r="C128" s="37">
        <v>15000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7">
        <f t="shared" si="24"/>
        <v>15000</v>
      </c>
      <c r="P128" s="58"/>
      <c r="Q128" s="58"/>
    </row>
    <row r="129" spans="1:17" s="11" customFormat="1" ht="15.75" customHeight="1" x14ac:dyDescent="0.25">
      <c r="A129" s="44" t="s">
        <v>276</v>
      </c>
      <c r="B129" s="45" t="s">
        <v>416</v>
      </c>
      <c r="C129" s="37">
        <v>1000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7">
        <f t="shared" si="24"/>
        <v>1000</v>
      </c>
      <c r="P129" s="58"/>
      <c r="Q129" s="58"/>
    </row>
    <row r="130" spans="1:17" s="11" customFormat="1" ht="29.25" customHeight="1" x14ac:dyDescent="0.25">
      <c r="A130" s="44" t="s">
        <v>277</v>
      </c>
      <c r="B130" s="45" t="s">
        <v>417</v>
      </c>
      <c r="C130" s="37">
        <f>50000-15000+1725</f>
        <v>36725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7">
        <f t="shared" si="24"/>
        <v>36725</v>
      </c>
      <c r="P130" s="58"/>
      <c r="Q130" s="58"/>
    </row>
    <row r="131" spans="1:17" s="11" customFormat="1" ht="15.75" customHeight="1" x14ac:dyDescent="0.25">
      <c r="A131" s="28" t="s">
        <v>278</v>
      </c>
      <c r="B131" s="45" t="s">
        <v>307</v>
      </c>
      <c r="C131" s="37">
        <f>12000+12000</f>
        <v>24000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7">
        <f t="shared" si="24"/>
        <v>24000</v>
      </c>
      <c r="P131" s="58"/>
      <c r="Q131" s="58"/>
    </row>
    <row r="132" spans="1:17" s="11" customFormat="1" ht="15.75" customHeight="1" x14ac:dyDescent="0.25">
      <c r="A132" s="28" t="s">
        <v>279</v>
      </c>
      <c r="B132" s="45" t="s">
        <v>453</v>
      </c>
      <c r="C132" s="37">
        <f>30000-1000</f>
        <v>29000</v>
      </c>
      <c r="D132" s="37"/>
      <c r="E132" s="37"/>
      <c r="F132" s="37">
        <v>18146</v>
      </c>
      <c r="G132" s="37"/>
      <c r="H132" s="37"/>
      <c r="I132" s="37"/>
      <c r="J132" s="37"/>
      <c r="K132" s="37"/>
      <c r="L132" s="37"/>
      <c r="M132" s="37"/>
      <c r="N132" s="37"/>
      <c r="O132" s="27">
        <f t="shared" si="24"/>
        <v>47146</v>
      </c>
      <c r="P132" s="58"/>
      <c r="Q132" s="58"/>
    </row>
    <row r="133" spans="1:17" s="11" customFormat="1" ht="15.75" customHeight="1" x14ac:dyDescent="0.25">
      <c r="A133" s="28" t="s">
        <v>280</v>
      </c>
      <c r="B133" s="45" t="s">
        <v>154</v>
      </c>
      <c r="C133" s="37">
        <v>6000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7">
        <f t="shared" si="24"/>
        <v>6000</v>
      </c>
      <c r="P133" s="58"/>
      <c r="Q133" s="58"/>
    </row>
    <row r="134" spans="1:17" s="7" customFormat="1" ht="15.75" customHeight="1" x14ac:dyDescent="0.25">
      <c r="A134" s="44" t="s">
        <v>281</v>
      </c>
      <c r="B134" s="45" t="s">
        <v>283</v>
      </c>
      <c r="C134" s="29">
        <v>9000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9000</v>
      </c>
      <c r="P134" s="58"/>
      <c r="Q134" s="58"/>
    </row>
    <row r="135" spans="1:17" s="7" customFormat="1" ht="15.75" customHeight="1" x14ac:dyDescent="0.25">
      <c r="A135" s="44" t="s">
        <v>282</v>
      </c>
      <c r="B135" s="45" t="s">
        <v>360</v>
      </c>
      <c r="C135" s="29">
        <v>25000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7">
        <f t="shared" si="24"/>
        <v>25000</v>
      </c>
      <c r="P135" s="58"/>
      <c r="Q135" s="58"/>
    </row>
    <row r="136" spans="1:17" s="7" customFormat="1" ht="30.75" customHeight="1" x14ac:dyDescent="0.25">
      <c r="A136" s="44" t="s">
        <v>284</v>
      </c>
      <c r="B136" s="45" t="s">
        <v>418</v>
      </c>
      <c r="C136" s="29">
        <v>100000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7">
        <f t="shared" si="24"/>
        <v>100000</v>
      </c>
      <c r="P136" s="58"/>
      <c r="Q136" s="58"/>
    </row>
    <row r="137" spans="1:17" s="11" customFormat="1" ht="15.75" customHeight="1" x14ac:dyDescent="0.25">
      <c r="A137" s="43" t="s">
        <v>361</v>
      </c>
      <c r="B137" s="45" t="s">
        <v>285</v>
      </c>
      <c r="C137" s="37">
        <v>9000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7">
        <f t="shared" si="24"/>
        <v>9000</v>
      </c>
      <c r="P137" s="58"/>
      <c r="Q137" s="58"/>
    </row>
    <row r="138" spans="1:17" s="11" customFormat="1" ht="29.25" customHeight="1" x14ac:dyDescent="0.25">
      <c r="A138" s="43" t="s">
        <v>286</v>
      </c>
      <c r="B138" s="45" t="s">
        <v>308</v>
      </c>
      <c r="C138" s="37">
        <v>11100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7">
        <f t="shared" si="24"/>
        <v>11100</v>
      </c>
      <c r="P138" s="58"/>
      <c r="Q138" s="58"/>
    </row>
    <row r="139" spans="1:17" s="11" customFormat="1" ht="15.75" customHeight="1" x14ac:dyDescent="0.25">
      <c r="A139" s="43" t="s">
        <v>287</v>
      </c>
      <c r="B139" s="45" t="s">
        <v>419</v>
      </c>
      <c r="C139" s="37">
        <v>3000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7">
        <f t="shared" si="24"/>
        <v>3000</v>
      </c>
      <c r="P139" s="58"/>
      <c r="Q139" s="58"/>
    </row>
    <row r="140" spans="1:17" s="9" customFormat="1" ht="17.25" customHeight="1" x14ac:dyDescent="0.25">
      <c r="A140" s="27" t="s">
        <v>126</v>
      </c>
      <c r="B140" s="42" t="s">
        <v>22</v>
      </c>
      <c r="C140" s="27">
        <f t="shared" ref="C140:N140" si="27">SUM(C141:C144)</f>
        <v>147000</v>
      </c>
      <c r="D140" s="27">
        <f t="shared" si="27"/>
        <v>0</v>
      </c>
      <c r="E140" s="27">
        <f t="shared" si="27"/>
        <v>0</v>
      </c>
      <c r="F140" s="27">
        <f t="shared" si="27"/>
        <v>0</v>
      </c>
      <c r="G140" s="27">
        <f t="shared" si="27"/>
        <v>0</v>
      </c>
      <c r="H140" s="27">
        <f t="shared" si="27"/>
        <v>0</v>
      </c>
      <c r="I140" s="27">
        <f t="shared" si="27"/>
        <v>0</v>
      </c>
      <c r="J140" s="27">
        <f t="shared" si="27"/>
        <v>0</v>
      </c>
      <c r="K140" s="27">
        <f t="shared" si="27"/>
        <v>0</v>
      </c>
      <c r="L140" s="27">
        <f t="shared" si="27"/>
        <v>0</v>
      </c>
      <c r="M140" s="27">
        <f t="shared" si="27"/>
        <v>0</v>
      </c>
      <c r="N140" s="27">
        <f t="shared" si="27"/>
        <v>0</v>
      </c>
      <c r="O140" s="27">
        <f t="shared" si="24"/>
        <v>147000</v>
      </c>
      <c r="P140" s="58"/>
      <c r="Q140" s="58"/>
    </row>
    <row r="141" spans="1:17" s="7" customFormat="1" ht="30.75" customHeight="1" x14ac:dyDescent="0.25">
      <c r="A141" s="30" t="s">
        <v>165</v>
      </c>
      <c r="B141" s="33" t="s">
        <v>420</v>
      </c>
      <c r="C141" s="29">
        <v>30000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30000</v>
      </c>
      <c r="P141" s="58"/>
      <c r="Q141" s="58"/>
    </row>
    <row r="142" spans="1:17" s="7" customFormat="1" ht="15.75" customHeight="1" x14ac:dyDescent="0.25">
      <c r="A142" s="30" t="s">
        <v>362</v>
      </c>
      <c r="B142" s="33" t="s">
        <v>454</v>
      </c>
      <c r="C142" s="29">
        <v>15000</v>
      </c>
      <c r="D142" s="31"/>
      <c r="E142" s="29"/>
      <c r="F142" s="31"/>
      <c r="G142" s="31"/>
      <c r="H142" s="31"/>
      <c r="I142" s="31"/>
      <c r="J142" s="31"/>
      <c r="K142" s="31"/>
      <c r="L142" s="31"/>
      <c r="M142" s="31"/>
      <c r="N142" s="31"/>
      <c r="O142" s="27">
        <f t="shared" si="24"/>
        <v>15000</v>
      </c>
      <c r="P142" s="58"/>
      <c r="Q142" s="58"/>
    </row>
    <row r="143" spans="1:17" s="7" customFormat="1" ht="15.75" customHeight="1" x14ac:dyDescent="0.25">
      <c r="A143" s="30" t="s">
        <v>363</v>
      </c>
      <c r="B143" s="33" t="s">
        <v>421</v>
      </c>
      <c r="C143" s="29">
        <v>12000</v>
      </c>
      <c r="D143" s="31"/>
      <c r="E143" s="29"/>
      <c r="F143" s="31"/>
      <c r="G143" s="31"/>
      <c r="H143" s="31"/>
      <c r="I143" s="31"/>
      <c r="J143" s="31"/>
      <c r="K143" s="31"/>
      <c r="L143" s="31"/>
      <c r="M143" s="31"/>
      <c r="N143" s="31"/>
      <c r="O143" s="27">
        <f t="shared" si="24"/>
        <v>12000</v>
      </c>
      <c r="P143" s="58"/>
      <c r="Q143" s="58"/>
    </row>
    <row r="144" spans="1:17" s="11" customFormat="1" ht="45.75" customHeight="1" x14ac:dyDescent="0.25">
      <c r="A144" s="43" t="s">
        <v>455</v>
      </c>
      <c r="B144" s="45" t="s">
        <v>456</v>
      </c>
      <c r="C144" s="29">
        <f>85000+5000</f>
        <v>90000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7">
        <f>C144+F144+I144+L144</f>
        <v>90000</v>
      </c>
      <c r="P144" s="58"/>
      <c r="Q144" s="58"/>
    </row>
    <row r="145" spans="1:17" s="1" customFormat="1" ht="18" customHeight="1" x14ac:dyDescent="0.3">
      <c r="A145" s="46"/>
      <c r="B145" s="124" t="s">
        <v>202</v>
      </c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  <c r="O145" s="126"/>
      <c r="P145" s="17"/>
      <c r="Q145" s="17"/>
    </row>
    <row r="146" spans="1:17" s="7" customFormat="1" ht="15.75" customHeight="1" x14ac:dyDescent="0.25">
      <c r="A146" s="29"/>
      <c r="B146" s="42" t="s">
        <v>26</v>
      </c>
      <c r="C146" s="38">
        <f t="shared" ref="C146:H146" si="28">SUM(C147:C148,C151,C154:C156,C159:C159,C162,C165,C168,C171:C171,C174,C177,C180:C182,C183,C196)</f>
        <v>9346180</v>
      </c>
      <c r="D146" s="38">
        <f t="shared" si="28"/>
        <v>6609651</v>
      </c>
      <c r="E146" s="38">
        <f t="shared" si="28"/>
        <v>0</v>
      </c>
      <c r="F146" s="38">
        <f>SUM(F147:F148,F151,F154:F156,F159:F159,F162,F165,F168,F171:F171,F174,F177,F180:F182,F183,F196)</f>
        <v>943054</v>
      </c>
      <c r="G146" s="38">
        <f t="shared" si="28"/>
        <v>102483</v>
      </c>
      <c r="H146" s="38">
        <f t="shared" si="28"/>
        <v>195370</v>
      </c>
      <c r="I146" s="38">
        <f>SUM(I147:I148,I151,I154:I156,I159:I159,I162,I165,I168,I171:I171,I174,I177,I180:I182,I183)</f>
        <v>10828900</v>
      </c>
      <c r="J146" s="38">
        <f>SUM(J147:J148,J151,J154:J156,J159:J159,J162,J165,J168,J171:J171,J174,J177,J180:J182,J183)</f>
        <v>10193706</v>
      </c>
      <c r="K146" s="38">
        <f>SUM(K147:K148,K151,K154:K156,K159:K159,K162,K165,K168,K171:K171,K174,K177,K180:K182,K183,K196)</f>
        <v>0</v>
      </c>
      <c r="L146" s="38">
        <f>SUM(L147:L148,L151,L154:L156,L159:L159,L162,L165,L168,L171:L171,L174,L177,L180:L182,L183,L196)</f>
        <v>546352</v>
      </c>
      <c r="M146" s="38">
        <f>SUM(M147:M148,M151,M154:M156,M159:M159,M162,M165,M168,M171:M171,M174,M177,M180:M182,M183,M196)</f>
        <v>24670</v>
      </c>
      <c r="N146" s="38">
        <f>SUM(N147:N148,N151,N154:N156,N159:N159,N162,N165,N168,N171:N171,N174,N177,N180:N182,N183,N196)</f>
        <v>0</v>
      </c>
      <c r="O146" s="27">
        <f>C146+F146+I146+L146</f>
        <v>21664486</v>
      </c>
      <c r="P146" s="58"/>
      <c r="Q146" s="58"/>
    </row>
    <row r="147" spans="1:17" s="10" customFormat="1" ht="15.75" customHeight="1" x14ac:dyDescent="0.3">
      <c r="A147" s="38" t="s">
        <v>127</v>
      </c>
      <c r="B147" s="90" t="s">
        <v>11</v>
      </c>
      <c r="C147" s="38">
        <f>470000+1368+58438+1000</f>
        <v>530806</v>
      </c>
      <c r="D147" s="38">
        <v>371000</v>
      </c>
      <c r="E147" s="38"/>
      <c r="F147" s="38"/>
      <c r="G147" s="38"/>
      <c r="H147" s="38"/>
      <c r="I147" s="38">
        <f>1485053+55590</f>
        <v>1540643</v>
      </c>
      <c r="J147" s="38">
        <v>1430788</v>
      </c>
      <c r="K147" s="38"/>
      <c r="L147" s="38">
        <f>4030+150+22490-12140</f>
        <v>14530</v>
      </c>
      <c r="M147" s="38"/>
      <c r="N147" s="38"/>
      <c r="O147" s="27">
        <f t="shared" ref="O147:O201" si="29">C147+F147+I147+L147</f>
        <v>2085979</v>
      </c>
      <c r="P147" s="59"/>
      <c r="Q147" s="59"/>
    </row>
    <row r="148" spans="1:17" s="10" customFormat="1" ht="15.75" customHeight="1" x14ac:dyDescent="0.3">
      <c r="A148" s="38" t="s">
        <v>128</v>
      </c>
      <c r="B148" s="50" t="s">
        <v>82</v>
      </c>
      <c r="C148" s="38">
        <f>C149+C150+20000</f>
        <v>565532</v>
      </c>
      <c r="D148" s="38">
        <f t="shared" ref="D148:K148" si="30">D149+D150</f>
        <v>394000</v>
      </c>
      <c r="E148" s="38">
        <f t="shared" si="30"/>
        <v>0</v>
      </c>
      <c r="F148" s="38">
        <f>F149+F150+519+16688</f>
        <v>32406</v>
      </c>
      <c r="G148" s="38">
        <f t="shared" si="30"/>
        <v>8528</v>
      </c>
      <c r="H148" s="38">
        <f t="shared" si="30"/>
        <v>0</v>
      </c>
      <c r="I148" s="38">
        <f>I149+I150+22402</f>
        <v>864701</v>
      </c>
      <c r="J148" s="38">
        <f>J149+J150</f>
        <v>816335</v>
      </c>
      <c r="K148" s="38">
        <f t="shared" si="30"/>
        <v>0</v>
      </c>
      <c r="L148" s="38">
        <f>L149+L150+1200</f>
        <v>20520</v>
      </c>
      <c r="M148" s="38">
        <f>M149+M150</f>
        <v>0</v>
      </c>
      <c r="N148" s="38">
        <f>N149+N150</f>
        <v>0</v>
      </c>
      <c r="O148" s="27">
        <f>C148+F148+I148+L148</f>
        <v>1483159</v>
      </c>
      <c r="P148" s="59"/>
      <c r="Q148" s="59"/>
    </row>
    <row r="149" spans="1:17" s="10" customFormat="1" ht="15.75" hidden="1" customHeight="1" x14ac:dyDescent="0.3">
      <c r="A149" s="49" t="s">
        <v>364</v>
      </c>
      <c r="B149" s="33" t="s">
        <v>25</v>
      </c>
      <c r="C149" s="37">
        <f>133300</f>
        <v>133300</v>
      </c>
      <c r="D149" s="37">
        <v>129000</v>
      </c>
      <c r="E149" s="37"/>
      <c r="F149" s="37">
        <v>15199</v>
      </c>
      <c r="G149" s="37">
        <f>8528</f>
        <v>8528</v>
      </c>
      <c r="H149" s="37"/>
      <c r="I149" s="37">
        <v>66252</v>
      </c>
      <c r="J149" s="37">
        <v>63339</v>
      </c>
      <c r="K149" s="37"/>
      <c r="L149" s="37">
        <v>19320</v>
      </c>
      <c r="M149" s="37"/>
      <c r="N149" s="37"/>
      <c r="O149" s="27">
        <f>C149+F149+I149+L149</f>
        <v>234071</v>
      </c>
      <c r="P149" s="59"/>
      <c r="Q149" s="59"/>
    </row>
    <row r="150" spans="1:17" s="10" customFormat="1" ht="15.75" hidden="1" customHeight="1" x14ac:dyDescent="0.3">
      <c r="A150" s="49" t="s">
        <v>365</v>
      </c>
      <c r="B150" s="33" t="s">
        <v>24</v>
      </c>
      <c r="C150" s="37">
        <f>515300-133300+5000+25232</f>
        <v>412232</v>
      </c>
      <c r="D150" s="37">
        <f>394000-129000</f>
        <v>265000</v>
      </c>
      <c r="E150" s="37"/>
      <c r="F150" s="37"/>
      <c r="G150" s="37"/>
      <c r="H150" s="37"/>
      <c r="I150" s="37">
        <v>776047</v>
      </c>
      <c r="J150" s="37">
        <v>752996</v>
      </c>
      <c r="K150" s="37"/>
      <c r="L150" s="37"/>
      <c r="M150" s="37"/>
      <c r="N150" s="37"/>
      <c r="O150" s="27">
        <f>C150+F150+I150+L150</f>
        <v>1188279</v>
      </c>
      <c r="P150" s="59"/>
      <c r="Q150" s="59"/>
    </row>
    <row r="151" spans="1:17" s="10" customFormat="1" ht="15.6" x14ac:dyDescent="0.3">
      <c r="A151" s="38" t="s">
        <v>129</v>
      </c>
      <c r="B151" s="50" t="s">
        <v>558</v>
      </c>
      <c r="C151" s="38">
        <f>C152+C153</f>
        <v>873798</v>
      </c>
      <c r="D151" s="38">
        <f t="shared" ref="D151:K151" si="31">D152+D153</f>
        <v>425000</v>
      </c>
      <c r="E151" s="38">
        <f t="shared" si="31"/>
        <v>0</v>
      </c>
      <c r="F151" s="38">
        <f>F152+F153+997+11126</f>
        <v>23522</v>
      </c>
      <c r="G151" s="38">
        <f t="shared" si="31"/>
        <v>9932</v>
      </c>
      <c r="H151" s="38">
        <f t="shared" si="31"/>
        <v>0</v>
      </c>
      <c r="I151" s="38">
        <f>I152+I153+30537</f>
        <v>931395</v>
      </c>
      <c r="J151" s="38">
        <f>J152+J153</f>
        <v>737167</v>
      </c>
      <c r="K151" s="38">
        <f t="shared" si="31"/>
        <v>0</v>
      </c>
      <c r="L151" s="38">
        <f>L152+L153+4200+5000</f>
        <v>45395</v>
      </c>
      <c r="M151" s="38">
        <f>M152+M153</f>
        <v>0</v>
      </c>
      <c r="N151" s="38">
        <f>N152+N153</f>
        <v>0</v>
      </c>
      <c r="O151" s="27">
        <f t="shared" si="29"/>
        <v>1874110</v>
      </c>
      <c r="P151" s="59"/>
      <c r="Q151" s="59"/>
    </row>
    <row r="152" spans="1:17" s="10" customFormat="1" ht="15.75" hidden="1" customHeight="1" x14ac:dyDescent="0.3">
      <c r="A152" s="49" t="s">
        <v>166</v>
      </c>
      <c r="B152" s="33" t="s">
        <v>25</v>
      </c>
      <c r="C152" s="37">
        <f>140300+2708+54187</f>
        <v>197195</v>
      </c>
      <c r="D152" s="37">
        <v>136000</v>
      </c>
      <c r="E152" s="37"/>
      <c r="F152" s="37">
        <f>11399</f>
        <v>11399</v>
      </c>
      <c r="G152" s="37">
        <f>9932</f>
        <v>9932</v>
      </c>
      <c r="H152" s="37"/>
      <c r="I152" s="37">
        <f>108815+32423</f>
        <v>141238</v>
      </c>
      <c r="J152" s="37">
        <v>105696</v>
      </c>
      <c r="K152" s="37"/>
      <c r="L152" s="37">
        <f>19370+16615</f>
        <v>35985</v>
      </c>
      <c r="M152" s="37"/>
      <c r="N152" s="37"/>
      <c r="O152" s="27">
        <f t="shared" si="29"/>
        <v>385817</v>
      </c>
      <c r="P152" s="59"/>
      <c r="Q152" s="59"/>
    </row>
    <row r="153" spans="1:17" s="10" customFormat="1" ht="15.75" hidden="1" customHeight="1" x14ac:dyDescent="0.3">
      <c r="A153" s="49" t="s">
        <v>167</v>
      </c>
      <c r="B153" s="33" t="s">
        <v>24</v>
      </c>
      <c r="C153" s="37">
        <f>586100-140300+5938+33808+191057</f>
        <v>676603</v>
      </c>
      <c r="D153" s="37">
        <f>425000-136000</f>
        <v>289000</v>
      </c>
      <c r="E153" s="37"/>
      <c r="F153" s="37"/>
      <c r="G153" s="37"/>
      <c r="H153" s="37"/>
      <c r="I153" s="37">
        <f>651474+108146</f>
        <v>759620</v>
      </c>
      <c r="J153" s="37">
        <v>631471</v>
      </c>
      <c r="K153" s="37"/>
      <c r="L153" s="37">
        <v>210</v>
      </c>
      <c r="M153" s="37"/>
      <c r="N153" s="37"/>
      <c r="O153" s="27">
        <f t="shared" si="29"/>
        <v>1436433</v>
      </c>
      <c r="P153" s="59"/>
      <c r="Q153" s="59"/>
    </row>
    <row r="154" spans="1:17" s="10" customFormat="1" ht="15.75" customHeight="1" x14ac:dyDescent="0.3">
      <c r="A154" s="38" t="s">
        <v>130</v>
      </c>
      <c r="B154" s="50" t="s">
        <v>288</v>
      </c>
      <c r="C154" s="38">
        <f>503600+20721+39248+718</f>
        <v>564287</v>
      </c>
      <c r="D154" s="38">
        <v>385000</v>
      </c>
      <c r="E154" s="38"/>
      <c r="F154" s="38">
        <f>1434</f>
        <v>1434</v>
      </c>
      <c r="G154" s="38"/>
      <c r="H154" s="38"/>
      <c r="I154" s="38">
        <f>1713935+75957</f>
        <v>1789892</v>
      </c>
      <c r="J154" s="38">
        <v>1645255</v>
      </c>
      <c r="K154" s="38"/>
      <c r="L154" s="38">
        <f>2700+22000-14800</f>
        <v>9900</v>
      </c>
      <c r="M154" s="38"/>
      <c r="N154" s="38"/>
      <c r="O154" s="27">
        <f>C154+F154+I154+L154</f>
        <v>2365513</v>
      </c>
      <c r="P154" s="59"/>
      <c r="Q154" s="59"/>
    </row>
    <row r="155" spans="1:17" s="10" customFormat="1" ht="15.75" customHeight="1" x14ac:dyDescent="0.3">
      <c r="A155" s="38" t="s">
        <v>131</v>
      </c>
      <c r="B155" s="50" t="s">
        <v>557</v>
      </c>
      <c r="C155" s="38">
        <f>471200+6363+48638+511+303116</f>
        <v>829828</v>
      </c>
      <c r="D155" s="38">
        <v>363000</v>
      </c>
      <c r="E155" s="38"/>
      <c r="F155" s="38">
        <f>1022+732+2782</f>
        <v>4536</v>
      </c>
      <c r="G155" s="38"/>
      <c r="H155" s="38"/>
      <c r="I155" s="38">
        <f>838749+231911+158710</f>
        <v>1229370</v>
      </c>
      <c r="J155" s="38">
        <v>807070</v>
      </c>
      <c r="K155" s="38"/>
      <c r="L155" s="38">
        <f>4000+4456+8000</f>
        <v>16456</v>
      </c>
      <c r="M155" s="38"/>
      <c r="N155" s="38"/>
      <c r="O155" s="27">
        <f>C155+F155+I155+L155</f>
        <v>2080190</v>
      </c>
      <c r="P155" s="59"/>
      <c r="Q155" s="59"/>
    </row>
    <row r="156" spans="1:17" s="10" customFormat="1" ht="15.6" x14ac:dyDescent="0.3">
      <c r="A156" s="38" t="s">
        <v>132</v>
      </c>
      <c r="B156" s="50" t="s">
        <v>559</v>
      </c>
      <c r="C156" s="38">
        <f>C157+C158</f>
        <v>267868</v>
      </c>
      <c r="D156" s="38">
        <f t="shared" ref="D156:N156" si="32">D157+D158</f>
        <v>284000</v>
      </c>
      <c r="E156" s="38">
        <f t="shared" si="32"/>
        <v>0</v>
      </c>
      <c r="F156" s="38">
        <f t="shared" si="32"/>
        <v>0</v>
      </c>
      <c r="G156" s="38">
        <f t="shared" si="32"/>
        <v>0</v>
      </c>
      <c r="H156" s="38">
        <f t="shared" si="32"/>
        <v>0</v>
      </c>
      <c r="I156" s="38">
        <f t="shared" si="32"/>
        <v>430994</v>
      </c>
      <c r="J156" s="38">
        <f>J157+J158</f>
        <v>525181</v>
      </c>
      <c r="K156" s="38">
        <f t="shared" si="32"/>
        <v>0</v>
      </c>
      <c r="L156" s="38">
        <f t="shared" si="32"/>
        <v>6227</v>
      </c>
      <c r="M156" s="38">
        <f t="shared" si="32"/>
        <v>0</v>
      </c>
      <c r="N156" s="38">
        <f t="shared" si="32"/>
        <v>0</v>
      </c>
      <c r="O156" s="27">
        <f t="shared" si="29"/>
        <v>705089</v>
      </c>
      <c r="P156" s="59"/>
      <c r="Q156" s="59"/>
    </row>
    <row r="157" spans="1:17" s="10" customFormat="1" ht="15.75" hidden="1" customHeight="1" x14ac:dyDescent="0.3">
      <c r="A157" s="91" t="s">
        <v>309</v>
      </c>
      <c r="B157" s="33" t="s">
        <v>25</v>
      </c>
      <c r="C157" s="37">
        <f>78300+3241-24823</f>
        <v>56718</v>
      </c>
      <c r="D157" s="37">
        <v>75900</v>
      </c>
      <c r="E157" s="37"/>
      <c r="F157" s="37"/>
      <c r="G157" s="37"/>
      <c r="H157" s="37"/>
      <c r="I157" s="37">
        <f>44000-15081</f>
        <v>28919</v>
      </c>
      <c r="J157" s="37">
        <v>42120</v>
      </c>
      <c r="K157" s="37"/>
      <c r="L157" s="37">
        <f>11100-4963</f>
        <v>6137</v>
      </c>
      <c r="M157" s="37"/>
      <c r="N157" s="37"/>
      <c r="O157" s="27">
        <f t="shared" si="29"/>
        <v>91774</v>
      </c>
      <c r="P157" s="59"/>
      <c r="Q157" s="59"/>
    </row>
    <row r="158" spans="1:17" s="10" customFormat="1" ht="15.75" hidden="1" customHeight="1" x14ac:dyDescent="0.3">
      <c r="A158" s="49" t="s">
        <v>310</v>
      </c>
      <c r="B158" s="33" t="s">
        <v>24</v>
      </c>
      <c r="C158" s="37">
        <f>356400-78300+8729+12490-88169</f>
        <v>211150</v>
      </c>
      <c r="D158" s="37">
        <f>284000-75900</f>
        <v>208100</v>
      </c>
      <c r="E158" s="37"/>
      <c r="F158" s="37"/>
      <c r="G158" s="37"/>
      <c r="H158" s="37"/>
      <c r="I158" s="37">
        <f>495487-93412</f>
        <v>402075</v>
      </c>
      <c r="J158" s="37">
        <v>483061</v>
      </c>
      <c r="K158" s="37"/>
      <c r="L158" s="37">
        <f>300-210</f>
        <v>90</v>
      </c>
      <c r="M158" s="37"/>
      <c r="N158" s="37"/>
      <c r="O158" s="27">
        <f t="shared" si="29"/>
        <v>613315</v>
      </c>
      <c r="P158" s="59"/>
      <c r="Q158" s="59"/>
    </row>
    <row r="159" spans="1:17" s="10" customFormat="1" ht="31.5" customHeight="1" x14ac:dyDescent="0.3">
      <c r="A159" s="38" t="s">
        <v>133</v>
      </c>
      <c r="B159" s="50" t="s">
        <v>560</v>
      </c>
      <c r="C159" s="38">
        <f>C160+C161</f>
        <v>220216</v>
      </c>
      <c r="D159" s="38">
        <f>D160+D161</f>
        <v>300751</v>
      </c>
      <c r="E159" s="38">
        <f t="shared" ref="E159:N159" si="33">E160+E161</f>
        <v>0</v>
      </c>
      <c r="F159" s="38">
        <f t="shared" si="33"/>
        <v>0</v>
      </c>
      <c r="G159" s="38">
        <f t="shared" si="33"/>
        <v>0</v>
      </c>
      <c r="H159" s="38">
        <f t="shared" si="33"/>
        <v>0</v>
      </c>
      <c r="I159" s="38">
        <f t="shared" si="33"/>
        <v>248936</v>
      </c>
      <c r="J159" s="38">
        <f>J160+J161</f>
        <v>273472</v>
      </c>
      <c r="K159" s="38">
        <f t="shared" si="33"/>
        <v>0</v>
      </c>
      <c r="L159" s="38">
        <f t="shared" si="33"/>
        <v>11168</v>
      </c>
      <c r="M159" s="38">
        <f t="shared" si="33"/>
        <v>0</v>
      </c>
      <c r="N159" s="38">
        <f t="shared" si="33"/>
        <v>0</v>
      </c>
      <c r="O159" s="27">
        <f>C159+F159+I159+L159</f>
        <v>480320</v>
      </c>
      <c r="P159" s="59"/>
      <c r="Q159" s="59"/>
    </row>
    <row r="160" spans="1:17" s="10" customFormat="1" ht="15.75" hidden="1" customHeight="1" x14ac:dyDescent="0.3">
      <c r="A160" s="92" t="s">
        <v>194</v>
      </c>
      <c r="B160" s="33" t="s">
        <v>25</v>
      </c>
      <c r="C160" s="37">
        <f>87000+3764-29364</f>
        <v>61400</v>
      </c>
      <c r="D160" s="37">
        <v>83000</v>
      </c>
      <c r="E160" s="37"/>
      <c r="F160" s="37"/>
      <c r="G160" s="37"/>
      <c r="H160" s="37"/>
      <c r="I160" s="37">
        <f>50285-17342</f>
        <v>32943</v>
      </c>
      <c r="J160" s="37">
        <v>48360</v>
      </c>
      <c r="K160" s="37"/>
      <c r="L160" s="37">
        <f>21500-11652</f>
        <v>9848</v>
      </c>
      <c r="M160" s="37"/>
      <c r="N160" s="37"/>
      <c r="O160" s="27">
        <f>C160+F160+I160+L160</f>
        <v>104191</v>
      </c>
      <c r="P160" s="59"/>
      <c r="Q160" s="59"/>
    </row>
    <row r="161" spans="1:17" s="10" customFormat="1" ht="15.75" hidden="1" customHeight="1" x14ac:dyDescent="0.3">
      <c r="A161" s="49" t="s">
        <v>195</v>
      </c>
      <c r="B161" s="33" t="s">
        <v>24</v>
      </c>
      <c r="C161" s="37">
        <f>343900+3804-87000+1000-102888</f>
        <v>158816</v>
      </c>
      <c r="D161" s="37">
        <f>297000+3751-83000</f>
        <v>217751</v>
      </c>
      <c r="E161" s="37"/>
      <c r="F161" s="37"/>
      <c r="G161" s="37"/>
      <c r="H161" s="37"/>
      <c r="I161" s="37">
        <f>230727-14734</f>
        <v>215993</v>
      </c>
      <c r="J161" s="37">
        <v>225112</v>
      </c>
      <c r="K161" s="37"/>
      <c r="L161" s="37">
        <v>1320</v>
      </c>
      <c r="M161" s="37"/>
      <c r="N161" s="37"/>
      <c r="O161" s="27">
        <f>C161+F161+I161+L161</f>
        <v>376129</v>
      </c>
      <c r="P161" s="59"/>
      <c r="Q161" s="59"/>
    </row>
    <row r="162" spans="1:17" s="10" customFormat="1" ht="30" customHeight="1" x14ac:dyDescent="0.3">
      <c r="A162" s="38" t="s">
        <v>134</v>
      </c>
      <c r="B162" s="50" t="s">
        <v>561</v>
      </c>
      <c r="C162" s="38">
        <f>C163+C164</f>
        <v>476651</v>
      </c>
      <c r="D162" s="38">
        <f>D163+D164</f>
        <v>377000</v>
      </c>
      <c r="E162" s="38">
        <f t="shared" ref="E162:N162" si="34">E163+E164</f>
        <v>0</v>
      </c>
      <c r="F162" s="38">
        <f>F163+F164+692+16688</f>
        <v>40898</v>
      </c>
      <c r="G162" s="38">
        <f t="shared" si="34"/>
        <v>5850</v>
      </c>
      <c r="H162" s="38">
        <f t="shared" si="34"/>
        <v>0</v>
      </c>
      <c r="I162" s="38">
        <f>I163+I164+67904</f>
        <v>799402</v>
      </c>
      <c r="J162" s="38">
        <f>J163+J164</f>
        <v>706878</v>
      </c>
      <c r="K162" s="38">
        <f t="shared" si="34"/>
        <v>0</v>
      </c>
      <c r="L162" s="38">
        <f>L163+L164+1200-4000</f>
        <v>25700</v>
      </c>
      <c r="M162" s="38">
        <f t="shared" si="34"/>
        <v>0</v>
      </c>
      <c r="N162" s="38">
        <f t="shared" si="34"/>
        <v>0</v>
      </c>
      <c r="O162" s="27">
        <f t="shared" si="29"/>
        <v>1342651</v>
      </c>
      <c r="P162" s="59"/>
      <c r="Q162" s="59"/>
    </row>
    <row r="163" spans="1:17" s="10" customFormat="1" ht="15.75" hidden="1" customHeight="1" x14ac:dyDescent="0.3">
      <c r="A163" s="92" t="s">
        <v>289</v>
      </c>
      <c r="B163" s="33" t="s">
        <v>25</v>
      </c>
      <c r="C163" s="37">
        <f>165300+2657</f>
        <v>167957</v>
      </c>
      <c r="D163" s="37">
        <f>160000</f>
        <v>160000</v>
      </c>
      <c r="E163" s="37"/>
      <c r="F163" s="37">
        <f>22798+720</f>
        <v>23518</v>
      </c>
      <c r="G163" s="37">
        <f>5850</f>
        <v>5850</v>
      </c>
      <c r="H163" s="37"/>
      <c r="I163" s="37">
        <v>159553</v>
      </c>
      <c r="J163" s="37">
        <v>154502</v>
      </c>
      <c r="K163" s="37"/>
      <c r="L163" s="37">
        <v>28500</v>
      </c>
      <c r="M163" s="37"/>
      <c r="N163" s="37"/>
      <c r="O163" s="27">
        <f t="shared" si="29"/>
        <v>379528</v>
      </c>
      <c r="P163" s="59"/>
      <c r="Q163" s="59"/>
    </row>
    <row r="164" spans="1:17" s="10" customFormat="1" ht="15.75" hidden="1" customHeight="1" x14ac:dyDescent="0.3">
      <c r="A164" s="49" t="s">
        <v>290</v>
      </c>
      <c r="B164" s="33" t="s">
        <v>24</v>
      </c>
      <c r="C164" s="37">
        <f>449400-165300+17080+7514</f>
        <v>308694</v>
      </c>
      <c r="D164" s="37">
        <f>377000-160000</f>
        <v>217000</v>
      </c>
      <c r="E164" s="37"/>
      <c r="F164" s="37"/>
      <c r="G164" s="37"/>
      <c r="H164" s="37"/>
      <c r="I164" s="37">
        <v>571945</v>
      </c>
      <c r="J164" s="37">
        <v>552376</v>
      </c>
      <c r="K164" s="37"/>
      <c r="L164" s="37"/>
      <c r="M164" s="37"/>
      <c r="N164" s="37"/>
      <c r="O164" s="27">
        <f t="shared" si="29"/>
        <v>880639</v>
      </c>
      <c r="P164" s="59"/>
      <c r="Q164" s="59"/>
    </row>
    <row r="165" spans="1:17" s="10" customFormat="1" ht="30.75" customHeight="1" x14ac:dyDescent="0.3">
      <c r="A165" s="38" t="s">
        <v>135</v>
      </c>
      <c r="B165" s="50" t="s">
        <v>562</v>
      </c>
      <c r="C165" s="38">
        <f>C166+C167</f>
        <v>259511</v>
      </c>
      <c r="D165" s="38">
        <f t="shared" ref="D165:L165" si="35">D166+D167</f>
        <v>342000</v>
      </c>
      <c r="E165" s="38">
        <f t="shared" si="35"/>
        <v>0</v>
      </c>
      <c r="F165" s="38">
        <f t="shared" si="35"/>
        <v>1440</v>
      </c>
      <c r="G165" s="38">
        <f t="shared" si="35"/>
        <v>0</v>
      </c>
      <c r="H165" s="38">
        <f t="shared" si="35"/>
        <v>0</v>
      </c>
      <c r="I165" s="38">
        <f t="shared" si="35"/>
        <v>354071</v>
      </c>
      <c r="J165" s="38">
        <f>J166+J167</f>
        <v>460148</v>
      </c>
      <c r="K165" s="38">
        <f t="shared" si="35"/>
        <v>0</v>
      </c>
      <c r="L165" s="38">
        <f t="shared" si="35"/>
        <v>8541</v>
      </c>
      <c r="M165" s="38">
        <f>M166+M167</f>
        <v>0</v>
      </c>
      <c r="N165" s="38">
        <f>N166+N167</f>
        <v>0</v>
      </c>
      <c r="O165" s="27">
        <f t="shared" si="29"/>
        <v>623563</v>
      </c>
      <c r="P165" s="59"/>
      <c r="Q165" s="59"/>
    </row>
    <row r="166" spans="1:17" s="10" customFormat="1" ht="15.75" hidden="1" customHeight="1" x14ac:dyDescent="0.3">
      <c r="A166" s="92" t="s">
        <v>168</v>
      </c>
      <c r="B166" s="33" t="s">
        <v>25</v>
      </c>
      <c r="C166" s="37">
        <f>124700-46331</f>
        <v>78369</v>
      </c>
      <c r="D166" s="37">
        <f>120500</f>
        <v>120500</v>
      </c>
      <c r="E166" s="37"/>
      <c r="F166" s="37">
        <v>1440</v>
      </c>
      <c r="G166" s="37"/>
      <c r="H166" s="37"/>
      <c r="I166" s="37">
        <f>31614-12190</f>
        <v>19424</v>
      </c>
      <c r="J166" s="37">
        <v>30000</v>
      </c>
      <c r="K166" s="37"/>
      <c r="L166" s="37">
        <f>10960-2419</f>
        <v>8541</v>
      </c>
      <c r="M166" s="37"/>
      <c r="N166" s="37"/>
      <c r="O166" s="27">
        <f t="shared" si="29"/>
        <v>107774</v>
      </c>
      <c r="P166" s="59"/>
      <c r="Q166" s="59"/>
    </row>
    <row r="167" spans="1:17" s="10" customFormat="1" ht="15.75" hidden="1" customHeight="1" x14ac:dyDescent="0.3">
      <c r="A167" s="49" t="s">
        <v>169</v>
      </c>
      <c r="B167" s="33" t="s">
        <v>24</v>
      </c>
      <c r="C167" s="37">
        <f>430900-124700+3500+6885-135443</f>
        <v>181142</v>
      </c>
      <c r="D167" s="37">
        <f>342000-120500</f>
        <v>221500</v>
      </c>
      <c r="E167" s="37"/>
      <c r="F167" s="37"/>
      <c r="G167" s="37"/>
      <c r="H167" s="37"/>
      <c r="I167" s="37">
        <f>442267-107620</f>
        <v>334647</v>
      </c>
      <c r="J167" s="37">
        <v>430148</v>
      </c>
      <c r="K167" s="37"/>
      <c r="L167" s="37"/>
      <c r="M167" s="37"/>
      <c r="N167" s="37"/>
      <c r="O167" s="27">
        <f t="shared" si="29"/>
        <v>515789</v>
      </c>
      <c r="P167" s="59"/>
      <c r="Q167" s="59"/>
    </row>
    <row r="168" spans="1:17" s="10" customFormat="1" ht="15.6" x14ac:dyDescent="0.3">
      <c r="A168" s="38" t="s">
        <v>136</v>
      </c>
      <c r="B168" s="50" t="s">
        <v>563</v>
      </c>
      <c r="C168" s="38">
        <f>C169+C170</f>
        <v>437813</v>
      </c>
      <c r="D168" s="38">
        <f t="shared" ref="D168:K168" si="36">D169+D170</f>
        <v>311000</v>
      </c>
      <c r="E168" s="38">
        <f t="shared" si="36"/>
        <v>0</v>
      </c>
      <c r="F168" s="38">
        <f>F169+F170+305+11126</f>
        <v>22830</v>
      </c>
      <c r="G168" s="38">
        <f t="shared" si="36"/>
        <v>6765</v>
      </c>
      <c r="H168" s="38">
        <f t="shared" si="36"/>
        <v>0</v>
      </c>
      <c r="I168" s="38">
        <f>I169+I170+18604</f>
        <v>606732</v>
      </c>
      <c r="J168" s="38">
        <f>J169+J170</f>
        <v>571002</v>
      </c>
      <c r="K168" s="38">
        <f t="shared" si="36"/>
        <v>0</v>
      </c>
      <c r="L168" s="38">
        <f>L169+L170+1220+220-4200</f>
        <v>9350</v>
      </c>
      <c r="M168" s="38">
        <f>M169+M170</f>
        <v>0</v>
      </c>
      <c r="N168" s="38">
        <f>N169+N170</f>
        <v>0</v>
      </c>
      <c r="O168" s="27">
        <f t="shared" si="29"/>
        <v>1076725</v>
      </c>
      <c r="P168" s="59"/>
      <c r="Q168" s="59"/>
    </row>
    <row r="169" spans="1:17" s="10" customFormat="1" ht="15.75" hidden="1" customHeight="1" x14ac:dyDescent="0.3">
      <c r="A169" s="49" t="s">
        <v>188</v>
      </c>
      <c r="B169" s="33" t="s">
        <v>25</v>
      </c>
      <c r="C169" s="37">
        <f>118700+6396</f>
        <v>125096</v>
      </c>
      <c r="D169" s="37">
        <f>115700</f>
        <v>115700</v>
      </c>
      <c r="E169" s="37"/>
      <c r="F169" s="37">
        <f>11399</f>
        <v>11399</v>
      </c>
      <c r="G169" s="37">
        <f>6765</f>
        <v>6765</v>
      </c>
      <c r="H169" s="37"/>
      <c r="I169" s="37">
        <v>75359</v>
      </c>
      <c r="J169" s="37">
        <v>73075</v>
      </c>
      <c r="K169" s="37"/>
      <c r="L169" s="37">
        <v>12110</v>
      </c>
      <c r="M169" s="37"/>
      <c r="N169" s="37"/>
      <c r="O169" s="27">
        <f t="shared" si="29"/>
        <v>223964</v>
      </c>
      <c r="P169" s="59"/>
      <c r="Q169" s="59"/>
    </row>
    <row r="170" spans="1:17" s="10" customFormat="1" ht="15.75" hidden="1" customHeight="1" x14ac:dyDescent="0.3">
      <c r="A170" s="49" t="s">
        <v>189</v>
      </c>
      <c r="B170" s="33" t="s">
        <v>24</v>
      </c>
      <c r="C170" s="37">
        <f>402300-118700+13376+15741</f>
        <v>312717</v>
      </c>
      <c r="D170" s="37">
        <f>311000-115700</f>
        <v>195300</v>
      </c>
      <c r="E170" s="37"/>
      <c r="F170" s="37"/>
      <c r="G170" s="37"/>
      <c r="H170" s="37"/>
      <c r="I170" s="37">
        <v>512769</v>
      </c>
      <c r="J170" s="37">
        <v>497927</v>
      </c>
      <c r="K170" s="37"/>
      <c r="L170" s="37"/>
      <c r="M170" s="37"/>
      <c r="N170" s="37"/>
      <c r="O170" s="27">
        <f t="shared" si="29"/>
        <v>825486</v>
      </c>
      <c r="P170" s="59"/>
      <c r="Q170" s="59"/>
    </row>
    <row r="171" spans="1:17" s="10" customFormat="1" ht="15.75" customHeight="1" x14ac:dyDescent="0.3">
      <c r="A171" s="38" t="s">
        <v>137</v>
      </c>
      <c r="B171" s="96" t="s">
        <v>564</v>
      </c>
      <c r="C171" s="38">
        <f>C172+C173</f>
        <v>258406</v>
      </c>
      <c r="D171" s="38">
        <f t="shared" ref="D171:N171" si="37">D172+D173</f>
        <v>294000</v>
      </c>
      <c r="E171" s="38">
        <f t="shared" si="37"/>
        <v>0</v>
      </c>
      <c r="F171" s="38">
        <f t="shared" si="37"/>
        <v>0</v>
      </c>
      <c r="G171" s="38">
        <f t="shared" si="37"/>
        <v>0</v>
      </c>
      <c r="H171" s="38">
        <f t="shared" si="37"/>
        <v>0</v>
      </c>
      <c r="I171" s="38">
        <f t="shared" si="37"/>
        <v>277116</v>
      </c>
      <c r="J171" s="38">
        <f>J172+J173</f>
        <v>378466</v>
      </c>
      <c r="K171" s="38">
        <f t="shared" si="37"/>
        <v>0</v>
      </c>
      <c r="L171" s="38">
        <f t="shared" si="37"/>
        <v>11843</v>
      </c>
      <c r="M171" s="38">
        <f t="shared" si="37"/>
        <v>0</v>
      </c>
      <c r="N171" s="38">
        <f t="shared" si="37"/>
        <v>0</v>
      </c>
      <c r="O171" s="27">
        <f t="shared" si="29"/>
        <v>547365</v>
      </c>
      <c r="P171" s="59"/>
      <c r="Q171" s="59"/>
    </row>
    <row r="172" spans="1:17" s="10" customFormat="1" ht="15.75" hidden="1" customHeight="1" x14ac:dyDescent="0.3">
      <c r="A172" s="49" t="s">
        <v>80</v>
      </c>
      <c r="B172" s="33" t="s">
        <v>25</v>
      </c>
      <c r="C172" s="37">
        <f>138700+1848-57136</f>
        <v>83412</v>
      </c>
      <c r="D172" s="37">
        <v>136000</v>
      </c>
      <c r="E172" s="37"/>
      <c r="F172" s="37"/>
      <c r="G172" s="37"/>
      <c r="H172" s="37"/>
      <c r="I172" s="37">
        <f>73991-22176</f>
        <v>51815</v>
      </c>
      <c r="J172" s="37">
        <v>71905</v>
      </c>
      <c r="K172" s="37"/>
      <c r="L172" s="37">
        <f>13880-2037</f>
        <v>11843</v>
      </c>
      <c r="M172" s="37"/>
      <c r="N172" s="37"/>
      <c r="O172" s="27">
        <f t="shared" si="29"/>
        <v>147070</v>
      </c>
      <c r="P172" s="59"/>
      <c r="Q172" s="59"/>
    </row>
    <row r="173" spans="1:17" s="10" customFormat="1" ht="15.75" hidden="1" customHeight="1" x14ac:dyDescent="0.3">
      <c r="A173" s="49" t="s">
        <v>81</v>
      </c>
      <c r="B173" s="33" t="s">
        <v>24</v>
      </c>
      <c r="C173" s="37">
        <f>356100-138700+10749+11051-64206</f>
        <v>174994</v>
      </c>
      <c r="D173" s="37">
        <f>294000-136000</f>
        <v>158000</v>
      </c>
      <c r="E173" s="37"/>
      <c r="F173" s="37"/>
      <c r="G173" s="37"/>
      <c r="H173" s="37"/>
      <c r="I173" s="37">
        <f>315226-89925</f>
        <v>225301</v>
      </c>
      <c r="J173" s="37">
        <v>306561</v>
      </c>
      <c r="K173" s="37"/>
      <c r="L173" s="37"/>
      <c r="M173" s="37"/>
      <c r="N173" s="37"/>
      <c r="O173" s="27">
        <f t="shared" si="29"/>
        <v>400295</v>
      </c>
      <c r="P173" s="59"/>
      <c r="Q173" s="59"/>
    </row>
    <row r="174" spans="1:17" s="10" customFormat="1" ht="15.75" customHeight="1" x14ac:dyDescent="0.3">
      <c r="A174" s="38" t="s">
        <v>138</v>
      </c>
      <c r="B174" s="90" t="s">
        <v>565</v>
      </c>
      <c r="C174" s="38">
        <f>C175+C176</f>
        <v>571879</v>
      </c>
      <c r="D174" s="38">
        <f t="shared" ref="D174:K174" si="38">D175+D176</f>
        <v>491000</v>
      </c>
      <c r="E174" s="38">
        <f t="shared" si="38"/>
        <v>0</v>
      </c>
      <c r="F174" s="38">
        <f>F175+F176+1098+5563</f>
        <v>25662</v>
      </c>
      <c r="G174" s="38">
        <f t="shared" si="38"/>
        <v>8000</v>
      </c>
      <c r="H174" s="38">
        <f t="shared" si="38"/>
        <v>0</v>
      </c>
      <c r="I174" s="38">
        <f>I175+I176+2651</f>
        <v>441314</v>
      </c>
      <c r="J174" s="38">
        <f>J175+J176</f>
        <v>423456</v>
      </c>
      <c r="K174" s="38">
        <f t="shared" si="38"/>
        <v>0</v>
      </c>
      <c r="L174" s="38">
        <f>L175+L176-13888</f>
        <v>45192</v>
      </c>
      <c r="M174" s="38">
        <f>M175+M176</f>
        <v>0</v>
      </c>
      <c r="N174" s="38">
        <f>N175+N176</f>
        <v>0</v>
      </c>
      <c r="O174" s="27">
        <f t="shared" si="29"/>
        <v>1084047</v>
      </c>
      <c r="P174" s="59"/>
      <c r="Q174" s="59"/>
    </row>
    <row r="175" spans="1:17" s="10" customFormat="1" ht="15.75" hidden="1" customHeight="1" x14ac:dyDescent="0.3">
      <c r="A175" s="49" t="s">
        <v>83</v>
      </c>
      <c r="B175" s="33" t="s">
        <v>25</v>
      </c>
      <c r="C175" s="37">
        <f>560800-62600+9916+342</f>
        <v>508458</v>
      </c>
      <c r="D175" s="37">
        <f>491000-49000</f>
        <v>442000</v>
      </c>
      <c r="E175" s="37"/>
      <c r="F175" s="37">
        <f>15199+2160</f>
        <v>17359</v>
      </c>
      <c r="G175" s="37">
        <f>8000</f>
        <v>8000</v>
      </c>
      <c r="H175" s="37"/>
      <c r="I175" s="37">
        <v>269865</v>
      </c>
      <c r="J175" s="37">
        <v>261682</v>
      </c>
      <c r="K175" s="37"/>
      <c r="L175" s="37">
        <v>55620</v>
      </c>
      <c r="M175" s="37"/>
      <c r="N175" s="37"/>
      <c r="O175" s="27">
        <f t="shared" si="29"/>
        <v>851302</v>
      </c>
      <c r="P175" s="59"/>
      <c r="Q175" s="59"/>
    </row>
    <row r="176" spans="1:17" s="10" customFormat="1" ht="15.75" hidden="1" customHeight="1" x14ac:dyDescent="0.3">
      <c r="A176" s="49" t="s">
        <v>84</v>
      </c>
      <c r="B176" s="33" t="s">
        <v>24</v>
      </c>
      <c r="C176" s="37">
        <f>62600+821</f>
        <v>63421</v>
      </c>
      <c r="D176" s="37">
        <v>49000</v>
      </c>
      <c r="E176" s="37"/>
      <c r="F176" s="37">
        <f>1642</f>
        <v>1642</v>
      </c>
      <c r="G176" s="37"/>
      <c r="H176" s="37"/>
      <c r="I176" s="37">
        <v>168798</v>
      </c>
      <c r="J176" s="37">
        <v>161774</v>
      </c>
      <c r="K176" s="37"/>
      <c r="L176" s="37">
        <v>3460</v>
      </c>
      <c r="M176" s="37"/>
      <c r="N176" s="37"/>
      <c r="O176" s="27">
        <f t="shared" si="29"/>
        <v>237321</v>
      </c>
      <c r="P176" s="59"/>
      <c r="Q176" s="59"/>
    </row>
    <row r="177" spans="1:17" s="10" customFormat="1" ht="15.75" customHeight="1" x14ac:dyDescent="0.3">
      <c r="A177" s="38" t="s">
        <v>139</v>
      </c>
      <c r="B177" s="50" t="s">
        <v>566</v>
      </c>
      <c r="C177" s="38">
        <f t="shared" ref="C177:N177" si="39">C178+C179</f>
        <v>819282</v>
      </c>
      <c r="D177" s="38">
        <f t="shared" si="39"/>
        <v>737900</v>
      </c>
      <c r="E177" s="38">
        <f t="shared" si="39"/>
        <v>0</v>
      </c>
      <c r="F177" s="38">
        <f>F178+F179+2161+8344</f>
        <v>36556</v>
      </c>
      <c r="G177" s="38">
        <f t="shared" si="39"/>
        <v>2215</v>
      </c>
      <c r="H177" s="38">
        <f t="shared" si="39"/>
        <v>0</v>
      </c>
      <c r="I177" s="38">
        <f>I178+I179+36592</f>
        <v>604838</v>
      </c>
      <c r="J177" s="38">
        <f t="shared" si="39"/>
        <v>550295</v>
      </c>
      <c r="K177" s="38">
        <f t="shared" si="39"/>
        <v>0</v>
      </c>
      <c r="L177" s="38">
        <f t="shared" si="39"/>
        <v>107060</v>
      </c>
      <c r="M177" s="38">
        <f t="shared" si="39"/>
        <v>0</v>
      </c>
      <c r="N177" s="38">
        <f t="shared" si="39"/>
        <v>0</v>
      </c>
      <c r="O177" s="27">
        <f>C177+F177+I177+L177</f>
        <v>1567736</v>
      </c>
      <c r="P177" s="59"/>
      <c r="Q177" s="59"/>
    </row>
    <row r="178" spans="1:17" s="10" customFormat="1" ht="15.75" hidden="1" customHeight="1" x14ac:dyDescent="0.3">
      <c r="A178" s="49" t="s">
        <v>291</v>
      </c>
      <c r="B178" s="33" t="s">
        <v>25</v>
      </c>
      <c r="C178" s="37">
        <f>830600-16000-35510+3356+1326</f>
        <v>783772</v>
      </c>
      <c r="D178" s="37">
        <f>737900-35000</f>
        <v>702900</v>
      </c>
      <c r="E178" s="37"/>
      <c r="F178" s="37">
        <f>3800+16000+3600+2651</f>
        <v>26051</v>
      </c>
      <c r="G178" s="37">
        <f>2215</f>
        <v>2215</v>
      </c>
      <c r="H178" s="37"/>
      <c r="I178" s="37">
        <v>476217</v>
      </c>
      <c r="J178" s="37">
        <v>460304</v>
      </c>
      <c r="K178" s="38"/>
      <c r="L178" s="37">
        <f>1500+85100+20460</f>
        <v>107060</v>
      </c>
      <c r="M178" s="37"/>
      <c r="N178" s="37"/>
      <c r="O178" s="27">
        <f>C178+F178+I178+L178</f>
        <v>1393100</v>
      </c>
      <c r="P178" s="59"/>
      <c r="Q178" s="59"/>
    </row>
    <row r="179" spans="1:17" s="10" customFormat="1" ht="15.75" hidden="1" customHeight="1" x14ac:dyDescent="0.3">
      <c r="A179" s="49" t="s">
        <v>292</v>
      </c>
      <c r="B179" s="33" t="s">
        <v>24</v>
      </c>
      <c r="C179" s="37">
        <v>35510</v>
      </c>
      <c r="D179" s="37">
        <v>35000</v>
      </c>
      <c r="E179" s="37"/>
      <c r="F179" s="37"/>
      <c r="G179" s="37"/>
      <c r="H179" s="37"/>
      <c r="I179" s="37">
        <v>92029</v>
      </c>
      <c r="J179" s="37">
        <v>89991</v>
      </c>
      <c r="K179" s="37"/>
      <c r="L179" s="37"/>
      <c r="M179" s="37"/>
      <c r="N179" s="37"/>
      <c r="O179" s="27">
        <f>C179+F179+I179+L179</f>
        <v>127539</v>
      </c>
      <c r="P179" s="59"/>
      <c r="Q179" s="59"/>
    </row>
    <row r="180" spans="1:17" s="10" customFormat="1" ht="15.75" customHeight="1" x14ac:dyDescent="0.3">
      <c r="A180" s="38" t="s">
        <v>140</v>
      </c>
      <c r="B180" s="90" t="s">
        <v>17</v>
      </c>
      <c r="C180" s="38">
        <f>813000+5003</f>
        <v>818003</v>
      </c>
      <c r="D180" s="38">
        <v>734000</v>
      </c>
      <c r="E180" s="38"/>
      <c r="F180" s="38">
        <f>30397+720+2260+8344</f>
        <v>41721</v>
      </c>
      <c r="G180" s="38">
        <f>9956</f>
        <v>9956</v>
      </c>
      <c r="H180" s="38"/>
      <c r="I180" s="38">
        <v>520690</v>
      </c>
      <c r="J180" s="38">
        <v>503396</v>
      </c>
      <c r="K180" s="38"/>
      <c r="L180" s="38">
        <f>130+142130-30000</f>
        <v>112260</v>
      </c>
      <c r="M180" s="38"/>
      <c r="N180" s="38"/>
      <c r="O180" s="27">
        <f t="shared" si="29"/>
        <v>1492674</v>
      </c>
      <c r="P180" s="59"/>
      <c r="Q180" s="59"/>
    </row>
    <row r="181" spans="1:17" s="10" customFormat="1" ht="15.75" customHeight="1" x14ac:dyDescent="0.3">
      <c r="A181" s="38" t="s">
        <v>141</v>
      </c>
      <c r="B181" s="50" t="s">
        <v>34</v>
      </c>
      <c r="C181" s="38">
        <v>681300</v>
      </c>
      <c r="D181" s="38">
        <v>648000</v>
      </c>
      <c r="E181" s="38"/>
      <c r="F181" s="38">
        <f>2236</f>
        <v>2236</v>
      </c>
      <c r="G181" s="38"/>
      <c r="H181" s="38"/>
      <c r="I181" s="38">
        <f>54900+4510</f>
        <v>59410</v>
      </c>
      <c r="J181" s="38">
        <v>54115</v>
      </c>
      <c r="K181" s="38"/>
      <c r="L181" s="38">
        <v>53860</v>
      </c>
      <c r="M181" s="38">
        <v>23000</v>
      </c>
      <c r="N181" s="38"/>
      <c r="O181" s="27">
        <f t="shared" si="29"/>
        <v>796806</v>
      </c>
      <c r="P181" s="59"/>
      <c r="Q181" s="59"/>
    </row>
    <row r="182" spans="1:17" s="10" customFormat="1" ht="30.75" customHeight="1" x14ac:dyDescent="0.3">
      <c r="A182" s="38" t="s">
        <v>142</v>
      </c>
      <c r="B182" s="50" t="s">
        <v>422</v>
      </c>
      <c r="C182" s="38">
        <f>183600+4890+310</f>
        <v>188800</v>
      </c>
      <c r="D182" s="38">
        <v>152000</v>
      </c>
      <c r="E182" s="38"/>
      <c r="F182" s="38">
        <v>51979</v>
      </c>
      <c r="G182" s="38">
        <v>51237</v>
      </c>
      <c r="H182" s="38"/>
      <c r="I182" s="38">
        <f>116983+12413</f>
        <v>129396</v>
      </c>
      <c r="J182" s="38">
        <v>115312</v>
      </c>
      <c r="K182" s="38"/>
      <c r="L182" s="38">
        <f>11170+23580-3200+16800</f>
        <v>48350</v>
      </c>
      <c r="M182" s="38">
        <v>1670</v>
      </c>
      <c r="N182" s="38"/>
      <c r="O182" s="27">
        <f t="shared" si="29"/>
        <v>418525</v>
      </c>
      <c r="P182" s="59"/>
      <c r="Q182" s="59"/>
    </row>
    <row r="183" spans="1:17" s="12" customFormat="1" ht="18" customHeight="1" x14ac:dyDescent="0.3">
      <c r="A183" s="38" t="s">
        <v>143</v>
      </c>
      <c r="B183" s="42" t="s">
        <v>33</v>
      </c>
      <c r="C183" s="38">
        <f>SUM(C184:C195)</f>
        <v>702200</v>
      </c>
      <c r="D183" s="38">
        <f t="shared" ref="D183:N183" si="40">SUM(D184:D194)</f>
        <v>0</v>
      </c>
      <c r="E183" s="38">
        <f t="shared" si="40"/>
        <v>0</v>
      </c>
      <c r="F183" s="38">
        <f>SUM(F184:H195)</f>
        <v>657834</v>
      </c>
      <c r="G183" s="38">
        <f>SUM(G184:I195)</f>
        <v>0</v>
      </c>
      <c r="H183" s="38">
        <f>SUM(H184:J195)</f>
        <v>195370</v>
      </c>
      <c r="I183" s="38">
        <f>SUM(I184:I195)</f>
        <v>0</v>
      </c>
      <c r="J183" s="38">
        <f t="shared" si="40"/>
        <v>195370</v>
      </c>
      <c r="K183" s="38">
        <f t="shared" si="40"/>
        <v>0</v>
      </c>
      <c r="L183" s="38">
        <f t="shared" si="40"/>
        <v>0</v>
      </c>
      <c r="M183" s="38">
        <f t="shared" si="40"/>
        <v>0</v>
      </c>
      <c r="N183" s="38">
        <f t="shared" si="40"/>
        <v>0</v>
      </c>
      <c r="O183" s="27">
        <f>C183+F183+I183+L183</f>
        <v>1360034</v>
      </c>
      <c r="P183" s="59"/>
      <c r="Q183" s="59"/>
    </row>
    <row r="184" spans="1:17" s="10" customFormat="1" ht="15" customHeight="1" x14ac:dyDescent="0.3">
      <c r="A184" s="49" t="s">
        <v>311</v>
      </c>
      <c r="B184" s="33" t="s">
        <v>30</v>
      </c>
      <c r="C184" s="37">
        <f>380000+166000</f>
        <v>546000</v>
      </c>
      <c r="D184" s="37"/>
      <c r="E184" s="37"/>
      <c r="F184" s="38"/>
      <c r="G184" s="37"/>
      <c r="H184" s="37"/>
      <c r="I184" s="38"/>
      <c r="J184" s="38"/>
      <c r="K184" s="37"/>
      <c r="L184" s="38"/>
      <c r="M184" s="37"/>
      <c r="N184" s="37"/>
      <c r="O184" s="27">
        <f t="shared" si="29"/>
        <v>546000</v>
      </c>
      <c r="P184" s="59"/>
      <c r="Q184" s="59"/>
    </row>
    <row r="185" spans="1:17" s="10" customFormat="1" ht="28.5" customHeight="1" x14ac:dyDescent="0.3">
      <c r="A185" s="49" t="s">
        <v>312</v>
      </c>
      <c r="B185" s="33" t="s">
        <v>183</v>
      </c>
      <c r="C185" s="37">
        <f>14000+1293</f>
        <v>15293</v>
      </c>
      <c r="D185" s="37"/>
      <c r="E185" s="37"/>
      <c r="F185" s="38"/>
      <c r="G185" s="37"/>
      <c r="H185" s="37"/>
      <c r="I185" s="38"/>
      <c r="J185" s="38"/>
      <c r="K185" s="37"/>
      <c r="L185" s="38"/>
      <c r="M185" s="37"/>
      <c r="N185" s="37"/>
      <c r="O185" s="27">
        <f t="shared" si="29"/>
        <v>15293</v>
      </c>
      <c r="P185" s="59"/>
      <c r="Q185" s="59"/>
    </row>
    <row r="186" spans="1:17" s="13" customFormat="1" ht="27.75" customHeight="1" x14ac:dyDescent="0.25">
      <c r="A186" s="49" t="s">
        <v>313</v>
      </c>
      <c r="B186" s="33" t="s">
        <v>151</v>
      </c>
      <c r="C186" s="37">
        <v>9000</v>
      </c>
      <c r="D186" s="37"/>
      <c r="E186" s="39"/>
      <c r="F186" s="40"/>
      <c r="G186" s="39"/>
      <c r="H186" s="39"/>
      <c r="I186" s="40"/>
      <c r="J186" s="40"/>
      <c r="K186" s="39"/>
      <c r="L186" s="40"/>
      <c r="M186" s="39"/>
      <c r="N186" s="39"/>
      <c r="O186" s="27">
        <f t="shared" si="29"/>
        <v>9000</v>
      </c>
      <c r="P186" s="61"/>
      <c r="Q186" s="61"/>
    </row>
    <row r="187" spans="1:17" s="13" customFormat="1" ht="17.25" customHeight="1" x14ac:dyDescent="0.25">
      <c r="A187" s="49" t="s">
        <v>314</v>
      </c>
      <c r="B187" s="33" t="s">
        <v>196</v>
      </c>
      <c r="C187" s="37"/>
      <c r="D187" s="37"/>
      <c r="E187" s="39"/>
      <c r="F187" s="37">
        <f>142200-4060</f>
        <v>138140</v>
      </c>
      <c r="G187" s="39"/>
      <c r="H187" s="39"/>
      <c r="I187" s="40"/>
      <c r="J187" s="40"/>
      <c r="K187" s="39"/>
      <c r="L187" s="40"/>
      <c r="M187" s="39"/>
      <c r="N187" s="39"/>
      <c r="O187" s="27">
        <f t="shared" si="29"/>
        <v>138140</v>
      </c>
      <c r="P187" s="61"/>
      <c r="Q187" s="61"/>
    </row>
    <row r="188" spans="1:17" s="10" customFormat="1" ht="29.25" customHeight="1" x14ac:dyDescent="0.3">
      <c r="A188" s="53" t="s">
        <v>315</v>
      </c>
      <c r="B188" s="33" t="s">
        <v>366</v>
      </c>
      <c r="C188" s="37">
        <f>12000-1293</f>
        <v>10707</v>
      </c>
      <c r="D188" s="37"/>
      <c r="E188" s="37"/>
      <c r="F188" s="37"/>
      <c r="G188" s="37"/>
      <c r="H188" s="37"/>
      <c r="I188" s="38"/>
      <c r="J188" s="37"/>
      <c r="K188" s="37"/>
      <c r="L188" s="38"/>
      <c r="M188" s="37"/>
      <c r="N188" s="37"/>
      <c r="O188" s="27">
        <f t="shared" si="29"/>
        <v>10707</v>
      </c>
      <c r="P188" s="59"/>
      <c r="Q188" s="59"/>
    </row>
    <row r="189" spans="1:17" s="10" customFormat="1" ht="16.5" customHeight="1" x14ac:dyDescent="0.3">
      <c r="A189" s="49" t="s">
        <v>316</v>
      </c>
      <c r="B189" s="33" t="s">
        <v>318</v>
      </c>
      <c r="C189" s="37">
        <v>90000</v>
      </c>
      <c r="D189" s="37"/>
      <c r="E189" s="37"/>
      <c r="F189" s="37"/>
      <c r="G189" s="37"/>
      <c r="H189" s="37"/>
      <c r="I189" s="38"/>
      <c r="J189" s="37"/>
      <c r="K189" s="37"/>
      <c r="L189" s="38"/>
      <c r="M189" s="37"/>
      <c r="N189" s="37"/>
      <c r="O189" s="27">
        <f t="shared" si="29"/>
        <v>90000</v>
      </c>
      <c r="P189" s="59"/>
      <c r="Q189" s="59"/>
    </row>
    <row r="190" spans="1:17" s="10" customFormat="1" ht="15" customHeight="1" x14ac:dyDescent="0.3">
      <c r="A190" s="49" t="s">
        <v>317</v>
      </c>
      <c r="B190" s="33" t="s">
        <v>368</v>
      </c>
      <c r="C190" s="37">
        <v>11000</v>
      </c>
      <c r="D190" s="37"/>
      <c r="E190" s="37"/>
      <c r="F190" s="38"/>
      <c r="G190" s="37"/>
      <c r="H190" s="37"/>
      <c r="I190" s="38"/>
      <c r="J190" s="38"/>
      <c r="K190" s="37"/>
      <c r="L190" s="38"/>
      <c r="M190" s="37"/>
      <c r="N190" s="37"/>
      <c r="O190" s="27">
        <f t="shared" ref="O190:O195" si="41">C190+F190+I190+L190</f>
        <v>11000</v>
      </c>
      <c r="P190" s="59"/>
      <c r="Q190" s="59"/>
    </row>
    <row r="191" spans="1:17" s="10" customFormat="1" ht="16.5" customHeight="1" x14ac:dyDescent="0.3">
      <c r="A191" s="49" t="s">
        <v>367</v>
      </c>
      <c r="B191" s="33" t="s">
        <v>350</v>
      </c>
      <c r="C191" s="37">
        <f>27000-6800</f>
        <v>20200</v>
      </c>
      <c r="D191" s="37"/>
      <c r="E191" s="37"/>
      <c r="F191" s="38"/>
      <c r="G191" s="37"/>
      <c r="H191" s="37"/>
      <c r="I191" s="38"/>
      <c r="J191" s="38"/>
      <c r="K191" s="37"/>
      <c r="L191" s="38"/>
      <c r="M191" s="37"/>
      <c r="N191" s="37"/>
      <c r="O191" s="27">
        <f t="shared" si="41"/>
        <v>20200</v>
      </c>
      <c r="P191" s="59"/>
      <c r="Q191" s="59"/>
    </row>
    <row r="192" spans="1:17" s="10" customFormat="1" ht="17.25" customHeight="1" x14ac:dyDescent="0.3">
      <c r="A192" s="49" t="s">
        <v>319</v>
      </c>
      <c r="B192" s="33" t="s">
        <v>369</v>
      </c>
      <c r="C192" s="37"/>
      <c r="D192" s="37"/>
      <c r="E192" s="37"/>
      <c r="F192" s="38"/>
      <c r="G192" s="37"/>
      <c r="H192" s="37"/>
      <c r="I192" s="38">
        <f>195370-195370</f>
        <v>0</v>
      </c>
      <c r="J192" s="37">
        <v>195370</v>
      </c>
      <c r="K192" s="37"/>
      <c r="L192" s="38"/>
      <c r="M192" s="37"/>
      <c r="N192" s="37"/>
      <c r="O192" s="27">
        <f t="shared" si="41"/>
        <v>0</v>
      </c>
      <c r="P192" s="59"/>
      <c r="Q192" s="59"/>
    </row>
    <row r="193" spans="1:17" s="10" customFormat="1" ht="31.5" customHeight="1" x14ac:dyDescent="0.3">
      <c r="A193" s="49" t="s">
        <v>423</v>
      </c>
      <c r="B193" s="33" t="s">
        <v>389</v>
      </c>
      <c r="C193" s="37"/>
      <c r="D193" s="37"/>
      <c r="E193" s="37"/>
      <c r="F193" s="38">
        <f>10559+1259</f>
        <v>11818</v>
      </c>
      <c r="G193" s="37"/>
      <c r="H193" s="37"/>
      <c r="I193" s="38"/>
      <c r="J193" s="37"/>
      <c r="K193" s="37"/>
      <c r="L193" s="38"/>
      <c r="M193" s="37"/>
      <c r="N193" s="37"/>
      <c r="O193" s="27">
        <f t="shared" si="41"/>
        <v>11818</v>
      </c>
      <c r="P193" s="59"/>
      <c r="Q193" s="59"/>
    </row>
    <row r="194" spans="1:17" s="10" customFormat="1" ht="17.25" customHeight="1" x14ac:dyDescent="0.3">
      <c r="A194" s="49" t="s">
        <v>370</v>
      </c>
      <c r="B194" s="33" t="s">
        <v>457</v>
      </c>
      <c r="C194" s="37"/>
      <c r="D194" s="37"/>
      <c r="E194" s="37"/>
      <c r="F194" s="38">
        <f>40334+247389+220153</f>
        <v>507876</v>
      </c>
      <c r="G194" s="37"/>
      <c r="H194" s="37"/>
      <c r="I194" s="38"/>
      <c r="J194" s="37"/>
      <c r="K194" s="37"/>
      <c r="L194" s="38"/>
      <c r="M194" s="37"/>
      <c r="N194" s="37"/>
      <c r="O194" s="27">
        <f t="shared" si="41"/>
        <v>507876</v>
      </c>
      <c r="P194" s="59"/>
      <c r="Q194" s="59"/>
    </row>
    <row r="195" spans="1:17" s="10" customFormat="1" ht="31.5" customHeight="1" x14ac:dyDescent="0.3">
      <c r="A195" s="49" t="s">
        <v>513</v>
      </c>
      <c r="B195" s="33" t="s">
        <v>514</v>
      </c>
      <c r="C195" s="37"/>
      <c r="D195" s="37"/>
      <c r="E195" s="37"/>
      <c r="F195" s="38">
        <f>6749-6749</f>
        <v>0</v>
      </c>
      <c r="G195" s="37"/>
      <c r="H195" s="37"/>
      <c r="I195" s="38"/>
      <c r="J195" s="37"/>
      <c r="K195" s="37"/>
      <c r="L195" s="38"/>
      <c r="M195" s="37"/>
      <c r="N195" s="37"/>
      <c r="O195" s="27">
        <f t="shared" si="41"/>
        <v>0</v>
      </c>
      <c r="P195" s="59"/>
      <c r="Q195" s="59"/>
    </row>
    <row r="196" spans="1:17" s="9" customFormat="1" ht="15.75" customHeight="1" x14ac:dyDescent="0.25">
      <c r="A196" s="27" t="s">
        <v>144</v>
      </c>
      <c r="B196" s="42" t="s">
        <v>22</v>
      </c>
      <c r="C196" s="27">
        <f>C197+C198+C199+C200+C201+C202</f>
        <v>280000</v>
      </c>
      <c r="D196" s="27">
        <f t="shared" ref="D196:O196" si="42">D197+D198+D199+D200+D201+D202</f>
        <v>0</v>
      </c>
      <c r="E196" s="27">
        <f t="shared" si="42"/>
        <v>0</v>
      </c>
      <c r="F196" s="27">
        <f t="shared" si="42"/>
        <v>0</v>
      </c>
      <c r="G196" s="27">
        <f t="shared" si="42"/>
        <v>0</v>
      </c>
      <c r="H196" s="27">
        <f t="shared" si="42"/>
        <v>0</v>
      </c>
      <c r="I196" s="27">
        <f t="shared" si="42"/>
        <v>0</v>
      </c>
      <c r="J196" s="27">
        <f t="shared" si="42"/>
        <v>0</v>
      </c>
      <c r="K196" s="27">
        <f t="shared" si="42"/>
        <v>0</v>
      </c>
      <c r="L196" s="27">
        <f t="shared" si="42"/>
        <v>0</v>
      </c>
      <c r="M196" s="27">
        <f t="shared" si="42"/>
        <v>0</v>
      </c>
      <c r="N196" s="27">
        <f t="shared" si="42"/>
        <v>0</v>
      </c>
      <c r="O196" s="27">
        <f t="shared" si="42"/>
        <v>280000</v>
      </c>
      <c r="P196" s="58"/>
      <c r="Q196" s="58"/>
    </row>
    <row r="197" spans="1:17" s="10" customFormat="1" ht="29.25" customHeight="1" x14ac:dyDescent="0.3">
      <c r="A197" s="49" t="s">
        <v>293</v>
      </c>
      <c r="B197" s="33" t="s">
        <v>458</v>
      </c>
      <c r="C197" s="37">
        <v>220000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7">
        <f t="shared" si="29"/>
        <v>220000</v>
      </c>
      <c r="P197" s="59"/>
      <c r="Q197" s="59"/>
    </row>
    <row r="198" spans="1:17" s="10" customFormat="1" ht="16.5" customHeight="1" x14ac:dyDescent="0.3">
      <c r="A198" s="49" t="s">
        <v>294</v>
      </c>
      <c r="B198" s="33" t="s">
        <v>459</v>
      </c>
      <c r="C198" s="37">
        <v>20000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7">
        <f t="shared" si="29"/>
        <v>20000</v>
      </c>
      <c r="P198" s="59"/>
      <c r="Q198" s="59"/>
    </row>
    <row r="199" spans="1:17" s="10" customFormat="1" ht="15.75" customHeight="1" x14ac:dyDescent="0.3">
      <c r="A199" s="49" t="s">
        <v>295</v>
      </c>
      <c r="B199" s="33" t="s">
        <v>460</v>
      </c>
      <c r="C199" s="37">
        <v>20000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7">
        <f t="shared" si="29"/>
        <v>20000</v>
      </c>
      <c r="P199" s="59"/>
      <c r="Q199" s="59"/>
    </row>
    <row r="200" spans="1:17" s="10" customFormat="1" ht="15.75" customHeight="1" x14ac:dyDescent="0.3">
      <c r="A200" s="49" t="s">
        <v>461</v>
      </c>
      <c r="B200" s="33" t="s">
        <v>462</v>
      </c>
      <c r="C200" s="37">
        <v>10000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7">
        <f t="shared" si="29"/>
        <v>10000</v>
      </c>
      <c r="P200" s="59"/>
      <c r="Q200" s="59"/>
    </row>
    <row r="201" spans="1:17" s="10" customFormat="1" ht="15.75" customHeight="1" x14ac:dyDescent="0.3">
      <c r="A201" s="49" t="s">
        <v>463</v>
      </c>
      <c r="B201" s="33" t="s">
        <v>464</v>
      </c>
      <c r="C201" s="37">
        <v>10000</v>
      </c>
      <c r="D201" s="37"/>
      <c r="E201" s="37"/>
      <c r="F201" s="38"/>
      <c r="G201" s="37"/>
      <c r="H201" s="37"/>
      <c r="I201" s="38"/>
      <c r="J201" s="38"/>
      <c r="K201" s="37"/>
      <c r="L201" s="38"/>
      <c r="M201" s="37"/>
      <c r="N201" s="37"/>
      <c r="O201" s="27">
        <f t="shared" si="29"/>
        <v>10000</v>
      </c>
      <c r="P201" s="59"/>
      <c r="Q201" s="59"/>
    </row>
    <row r="202" spans="1:17" s="10" customFormat="1" ht="15.75" customHeight="1" x14ac:dyDescent="0.3">
      <c r="A202" s="49" t="s">
        <v>465</v>
      </c>
      <c r="B202" s="33" t="s">
        <v>466</v>
      </c>
      <c r="C202" s="37">
        <f>400000-132713-267287</f>
        <v>0</v>
      </c>
      <c r="D202" s="37"/>
      <c r="E202" s="37"/>
      <c r="F202" s="38"/>
      <c r="G202" s="37"/>
      <c r="H202" s="37"/>
      <c r="I202" s="38"/>
      <c r="J202" s="38"/>
      <c r="K202" s="37"/>
      <c r="L202" s="38"/>
      <c r="M202" s="37"/>
      <c r="N202" s="37"/>
      <c r="O202" s="27">
        <f>C202+F202+I202+L202</f>
        <v>0</v>
      </c>
      <c r="P202" s="59"/>
      <c r="Q202" s="59"/>
    </row>
    <row r="203" spans="1:17" s="1" customFormat="1" ht="32.25" customHeight="1" x14ac:dyDescent="0.3">
      <c r="A203" s="46"/>
      <c r="B203" s="123" t="s">
        <v>201</v>
      </c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7"/>
      <c r="Q203" s="17"/>
    </row>
    <row r="204" spans="1:17" s="7" customFormat="1" ht="15.75" customHeight="1" x14ac:dyDescent="0.25">
      <c r="A204" s="29"/>
      <c r="B204" s="42" t="s">
        <v>26</v>
      </c>
      <c r="C204" s="38">
        <f t="shared" ref="C204:N204" si="43">C205+C249+C248</f>
        <v>7148105</v>
      </c>
      <c r="D204" s="38">
        <f t="shared" si="43"/>
        <v>2119560</v>
      </c>
      <c r="E204" s="38">
        <f t="shared" si="43"/>
        <v>0</v>
      </c>
      <c r="F204" s="38">
        <f>F205+F249+F248</f>
        <v>3017092</v>
      </c>
      <c r="G204" s="38">
        <f t="shared" si="43"/>
        <v>534560</v>
      </c>
      <c r="H204" s="38">
        <f t="shared" si="43"/>
        <v>0</v>
      </c>
      <c r="I204" s="38">
        <f>I205+I249+I248</f>
        <v>0</v>
      </c>
      <c r="J204" s="38">
        <f t="shared" si="43"/>
        <v>0</v>
      </c>
      <c r="K204" s="38">
        <f t="shared" si="43"/>
        <v>0</v>
      </c>
      <c r="L204" s="38">
        <f t="shared" si="43"/>
        <v>343324</v>
      </c>
      <c r="M204" s="38">
        <f t="shared" si="43"/>
        <v>326293</v>
      </c>
      <c r="N204" s="38">
        <f t="shared" si="43"/>
        <v>0</v>
      </c>
      <c r="O204" s="38">
        <f>C204+F204+I204+L204</f>
        <v>10508521</v>
      </c>
      <c r="P204" s="58"/>
      <c r="Q204" s="58"/>
    </row>
    <row r="205" spans="1:17" s="2" customFormat="1" ht="15.75" customHeight="1" x14ac:dyDescent="0.3">
      <c r="A205" s="27" t="s">
        <v>145</v>
      </c>
      <c r="B205" s="42" t="s">
        <v>33</v>
      </c>
      <c r="C205" s="27">
        <f>SUM(C206:C247)</f>
        <v>6569118</v>
      </c>
      <c r="D205" s="27">
        <f t="shared" ref="D205:E205" si="44">SUM(D206:D246)</f>
        <v>1757060</v>
      </c>
      <c r="E205" s="27">
        <f t="shared" si="44"/>
        <v>0</v>
      </c>
      <c r="F205" s="27">
        <f>SUM(F206:F247)</f>
        <v>2981103</v>
      </c>
      <c r="G205" s="27">
        <f t="shared" ref="G205:L205" si="45">SUM(G206:G246)</f>
        <v>504000</v>
      </c>
      <c r="H205" s="27">
        <f t="shared" si="45"/>
        <v>0</v>
      </c>
      <c r="I205" s="27">
        <f t="shared" si="45"/>
        <v>0</v>
      </c>
      <c r="J205" s="27">
        <f t="shared" si="45"/>
        <v>0</v>
      </c>
      <c r="K205" s="27">
        <f t="shared" si="45"/>
        <v>0</v>
      </c>
      <c r="L205" s="27">
        <f t="shared" si="45"/>
        <v>0</v>
      </c>
      <c r="M205" s="27">
        <f>SUM(M206:M242)</f>
        <v>0</v>
      </c>
      <c r="N205" s="27">
        <f>SUM(N206:N242)</f>
        <v>0</v>
      </c>
      <c r="O205" s="27">
        <f>SUM(O206:O247)</f>
        <v>9550221</v>
      </c>
      <c r="P205" s="17"/>
      <c r="Q205" s="17"/>
    </row>
    <row r="206" spans="1:17" s="10" customFormat="1" ht="15.75" customHeight="1" x14ac:dyDescent="0.3">
      <c r="A206" s="49" t="s">
        <v>296</v>
      </c>
      <c r="B206" s="33" t="s">
        <v>13</v>
      </c>
      <c r="C206" s="37">
        <v>1660000</v>
      </c>
      <c r="D206" s="37"/>
      <c r="E206" s="37"/>
      <c r="F206" s="37">
        <f>11421+13593+12188</f>
        <v>37202</v>
      </c>
      <c r="G206" s="37"/>
      <c r="H206" s="37"/>
      <c r="I206" s="37"/>
      <c r="J206" s="37"/>
      <c r="K206" s="37"/>
      <c r="L206" s="37"/>
      <c r="M206" s="37"/>
      <c r="N206" s="37"/>
      <c r="O206" s="27">
        <f>C206+F206+I206+L206</f>
        <v>1697202</v>
      </c>
      <c r="P206" s="59"/>
      <c r="Q206" s="59"/>
    </row>
    <row r="207" spans="1:17" s="10" customFormat="1" ht="15.75" customHeight="1" x14ac:dyDescent="0.3">
      <c r="A207" s="49" t="s">
        <v>297</v>
      </c>
      <c r="B207" s="33" t="s">
        <v>320</v>
      </c>
      <c r="C207" s="37">
        <v>144000</v>
      </c>
      <c r="D207" s="37"/>
      <c r="E207" s="37"/>
      <c r="F207" s="37">
        <f>100</f>
        <v>100</v>
      </c>
      <c r="G207" s="37"/>
      <c r="H207" s="37"/>
      <c r="I207" s="37"/>
      <c r="J207" s="37"/>
      <c r="K207" s="37"/>
      <c r="L207" s="37"/>
      <c r="M207" s="37"/>
      <c r="N207" s="37"/>
      <c r="O207" s="27">
        <f>C207+F207+I207+L207</f>
        <v>144100</v>
      </c>
      <c r="P207" s="59"/>
      <c r="Q207" s="59"/>
    </row>
    <row r="208" spans="1:17" s="10" customFormat="1" ht="15.75" customHeight="1" x14ac:dyDescent="0.3">
      <c r="A208" s="49" t="s">
        <v>298</v>
      </c>
      <c r="B208" s="33" t="s">
        <v>31</v>
      </c>
      <c r="C208" s="37">
        <v>1030000</v>
      </c>
      <c r="D208" s="37"/>
      <c r="E208" s="37"/>
      <c r="F208" s="37">
        <f>1269+257+141+65</f>
        <v>1732</v>
      </c>
      <c r="G208" s="37"/>
      <c r="H208" s="37"/>
      <c r="I208" s="37"/>
      <c r="J208" s="37"/>
      <c r="K208" s="37"/>
      <c r="L208" s="37"/>
      <c r="M208" s="37"/>
      <c r="N208" s="37"/>
      <c r="O208" s="27">
        <f>C208+F208+I208+L208</f>
        <v>1031732</v>
      </c>
      <c r="P208" s="59"/>
      <c r="Q208" s="59"/>
    </row>
    <row r="209" spans="1:17" s="10" customFormat="1" ht="15.75" customHeight="1" x14ac:dyDescent="0.3">
      <c r="A209" s="49" t="s">
        <v>299</v>
      </c>
      <c r="B209" s="33" t="s">
        <v>163</v>
      </c>
      <c r="C209" s="37"/>
      <c r="D209" s="37"/>
      <c r="E209" s="37"/>
      <c r="F209" s="37">
        <f>214700-4400-19100</f>
        <v>191200</v>
      </c>
      <c r="G209" s="37"/>
      <c r="H209" s="37"/>
      <c r="I209" s="37"/>
      <c r="J209" s="37"/>
      <c r="K209" s="37"/>
      <c r="L209" s="37"/>
      <c r="M209" s="37"/>
      <c r="N209" s="37"/>
      <c r="O209" s="27">
        <f t="shared" ref="O209:O248" si="46">C209+F209+I209+L209</f>
        <v>191200</v>
      </c>
      <c r="P209" s="59"/>
      <c r="Q209" s="59"/>
    </row>
    <row r="210" spans="1:17" s="10" customFormat="1" ht="15.75" customHeight="1" x14ac:dyDescent="0.3">
      <c r="A210" s="49" t="s">
        <v>300</v>
      </c>
      <c r="B210" s="45" t="s">
        <v>267</v>
      </c>
      <c r="C210" s="37">
        <v>8000</v>
      </c>
      <c r="D210" s="45"/>
      <c r="E210" s="37"/>
      <c r="F210" s="37">
        <v>157500</v>
      </c>
      <c r="G210" s="37"/>
      <c r="H210" s="37"/>
      <c r="I210" s="45"/>
      <c r="J210" s="45"/>
      <c r="K210" s="45"/>
      <c r="L210" s="45"/>
      <c r="M210" s="45"/>
      <c r="N210" s="45"/>
      <c r="O210" s="27">
        <f>C210+F210+I210+L210</f>
        <v>165500</v>
      </c>
      <c r="P210" s="59"/>
      <c r="Q210" s="59"/>
    </row>
    <row r="211" spans="1:17" s="10" customFormat="1" ht="15.75" customHeight="1" x14ac:dyDescent="0.3">
      <c r="A211" s="49" t="s">
        <v>301</v>
      </c>
      <c r="B211" s="33" t="s">
        <v>161</v>
      </c>
      <c r="C211" s="37"/>
      <c r="D211" s="37"/>
      <c r="E211" s="37"/>
      <c r="F211" s="37">
        <v>98000</v>
      </c>
      <c r="G211" s="37"/>
      <c r="H211" s="37"/>
      <c r="I211" s="37"/>
      <c r="J211" s="37"/>
      <c r="K211" s="37"/>
      <c r="L211" s="37"/>
      <c r="M211" s="37"/>
      <c r="N211" s="37"/>
      <c r="O211" s="27">
        <f t="shared" si="46"/>
        <v>98000</v>
      </c>
      <c r="P211" s="59"/>
      <c r="Q211" s="59"/>
    </row>
    <row r="212" spans="1:17" s="10" customFormat="1" ht="15.75" customHeight="1" x14ac:dyDescent="0.3">
      <c r="A212" s="49" t="s">
        <v>302</v>
      </c>
      <c r="B212" s="33" t="s">
        <v>32</v>
      </c>
      <c r="C212" s="37"/>
      <c r="D212" s="37"/>
      <c r="E212" s="37"/>
      <c r="F212" s="37">
        <f>382800+2042+2138+2664</f>
        <v>389644</v>
      </c>
      <c r="G212" s="37"/>
      <c r="H212" s="37"/>
      <c r="I212" s="37"/>
      <c r="J212" s="37"/>
      <c r="K212" s="37"/>
      <c r="L212" s="37"/>
      <c r="M212" s="37"/>
      <c r="N212" s="37"/>
      <c r="O212" s="27">
        <f t="shared" si="46"/>
        <v>389644</v>
      </c>
      <c r="P212" s="59"/>
      <c r="Q212" s="59"/>
    </row>
    <row r="213" spans="1:17" s="10" customFormat="1" ht="15.75" customHeight="1" x14ac:dyDescent="0.3">
      <c r="A213" s="49" t="s">
        <v>321</v>
      </c>
      <c r="B213" s="33" t="s">
        <v>162</v>
      </c>
      <c r="C213" s="37">
        <f>46000-2570</f>
        <v>43430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27">
        <f t="shared" si="46"/>
        <v>43430</v>
      </c>
      <c r="P213" s="59"/>
      <c r="Q213" s="59"/>
    </row>
    <row r="214" spans="1:17" s="10" customFormat="1" ht="15.75" customHeight="1" x14ac:dyDescent="0.3">
      <c r="A214" s="49" t="s">
        <v>322</v>
      </c>
      <c r="B214" s="33" t="s">
        <v>181</v>
      </c>
      <c r="C214" s="37"/>
      <c r="D214" s="37"/>
      <c r="E214" s="37"/>
      <c r="F214" s="37">
        <f>946200+140000</f>
        <v>1086200</v>
      </c>
      <c r="G214" s="37"/>
      <c r="H214" s="37"/>
      <c r="I214" s="37"/>
      <c r="J214" s="37"/>
      <c r="K214" s="37"/>
      <c r="L214" s="37"/>
      <c r="M214" s="37"/>
      <c r="N214" s="37"/>
      <c r="O214" s="27">
        <f t="shared" si="46"/>
        <v>1086200</v>
      </c>
      <c r="P214" s="59"/>
      <c r="Q214" s="59"/>
    </row>
    <row r="215" spans="1:17" s="8" customFormat="1" ht="45" customHeight="1" x14ac:dyDescent="0.25">
      <c r="A215" s="49" t="s">
        <v>323</v>
      </c>
      <c r="B215" s="65" t="s">
        <v>424</v>
      </c>
      <c r="C215" s="29"/>
      <c r="D215" s="29"/>
      <c r="E215" s="29"/>
      <c r="F215" s="29">
        <v>418000</v>
      </c>
      <c r="G215" s="29">
        <v>405000</v>
      </c>
      <c r="H215" s="29"/>
      <c r="I215" s="29"/>
      <c r="J215" s="29"/>
      <c r="K215" s="29"/>
      <c r="L215" s="29"/>
      <c r="M215" s="29"/>
      <c r="N215" s="29"/>
      <c r="O215" s="27">
        <f t="shared" si="46"/>
        <v>418000</v>
      </c>
      <c r="P215" s="57"/>
      <c r="Q215" s="57"/>
    </row>
    <row r="216" spans="1:17" s="8" customFormat="1" ht="28.5" customHeight="1" x14ac:dyDescent="0.25">
      <c r="A216" s="49" t="s">
        <v>324</v>
      </c>
      <c r="B216" s="65" t="s">
        <v>425</v>
      </c>
      <c r="C216" s="29"/>
      <c r="D216" s="29"/>
      <c r="E216" s="29"/>
      <c r="F216" s="29">
        <f>103500-39000</f>
        <v>64500</v>
      </c>
      <c r="G216" s="29">
        <v>99000</v>
      </c>
      <c r="H216" s="29"/>
      <c r="I216" s="29"/>
      <c r="J216" s="29"/>
      <c r="K216" s="29"/>
      <c r="L216" s="29"/>
      <c r="M216" s="29"/>
      <c r="N216" s="29"/>
      <c r="O216" s="27">
        <f t="shared" si="46"/>
        <v>64500</v>
      </c>
      <c r="P216" s="57"/>
      <c r="Q216" s="57"/>
    </row>
    <row r="217" spans="1:17" s="4" customFormat="1" ht="28.5" customHeight="1" x14ac:dyDescent="0.25">
      <c r="A217" s="49" t="s">
        <v>325</v>
      </c>
      <c r="B217" s="33" t="s">
        <v>567</v>
      </c>
      <c r="C217" s="29">
        <v>170000</v>
      </c>
      <c r="D217" s="29"/>
      <c r="E217" s="29"/>
      <c r="F217" s="29">
        <f>227700+13200+12800</f>
        <v>253700</v>
      </c>
      <c r="G217" s="29"/>
      <c r="H217" s="29"/>
      <c r="I217" s="29"/>
      <c r="J217" s="29"/>
      <c r="K217" s="29"/>
      <c r="L217" s="29"/>
      <c r="M217" s="29"/>
      <c r="N217" s="29"/>
      <c r="O217" s="27">
        <f t="shared" si="46"/>
        <v>423700</v>
      </c>
      <c r="P217" s="58"/>
      <c r="Q217" s="57"/>
    </row>
    <row r="218" spans="1:17" s="8" customFormat="1" ht="15.75" customHeight="1" x14ac:dyDescent="0.25">
      <c r="A218" s="49" t="s">
        <v>326</v>
      </c>
      <c r="B218" s="65" t="s">
        <v>467</v>
      </c>
      <c r="C218" s="29"/>
      <c r="D218" s="29"/>
      <c r="E218" s="29"/>
      <c r="F218" s="29">
        <v>12500</v>
      </c>
      <c r="G218" s="29"/>
      <c r="H218" s="29"/>
      <c r="I218" s="29"/>
      <c r="J218" s="29"/>
      <c r="K218" s="29"/>
      <c r="L218" s="29"/>
      <c r="M218" s="29"/>
      <c r="N218" s="29"/>
      <c r="O218" s="27">
        <f>C218+F218+I218+L218</f>
        <v>12500</v>
      </c>
      <c r="P218" s="57"/>
      <c r="Q218" s="57"/>
    </row>
    <row r="219" spans="1:17" s="8" customFormat="1" ht="15.75" customHeight="1" x14ac:dyDescent="0.25">
      <c r="A219" s="49" t="s">
        <v>372</v>
      </c>
      <c r="B219" s="65" t="s">
        <v>371</v>
      </c>
      <c r="C219" s="29"/>
      <c r="D219" s="29"/>
      <c r="E219" s="29"/>
      <c r="F219" s="29">
        <f>99686-39216-20000-4902</f>
        <v>35568</v>
      </c>
      <c r="G219" s="29"/>
      <c r="H219" s="29"/>
      <c r="I219" s="29"/>
      <c r="J219" s="29"/>
      <c r="K219" s="29"/>
      <c r="L219" s="29"/>
      <c r="M219" s="29"/>
      <c r="N219" s="29"/>
      <c r="O219" s="27">
        <f t="shared" si="46"/>
        <v>35568</v>
      </c>
      <c r="P219" s="57"/>
      <c r="Q219" s="57"/>
    </row>
    <row r="220" spans="1:17" s="10" customFormat="1" ht="15.75" customHeight="1" x14ac:dyDescent="0.3">
      <c r="A220" s="49" t="s">
        <v>468</v>
      </c>
      <c r="B220" s="33" t="s">
        <v>426</v>
      </c>
      <c r="C220" s="37">
        <v>14000</v>
      </c>
      <c r="D220" s="37"/>
      <c r="E220" s="37"/>
      <c r="F220" s="37">
        <f>28400-2694</f>
        <v>25706</v>
      </c>
      <c r="G220" s="37"/>
      <c r="H220" s="37"/>
      <c r="I220" s="38"/>
      <c r="J220" s="38"/>
      <c r="K220" s="37"/>
      <c r="L220" s="38"/>
      <c r="M220" s="37"/>
      <c r="N220" s="37"/>
      <c r="O220" s="27">
        <f t="shared" si="46"/>
        <v>39706</v>
      </c>
      <c r="P220" s="59"/>
      <c r="Q220" s="59"/>
    </row>
    <row r="221" spans="1:17" s="10" customFormat="1" ht="15.75" customHeight="1" x14ac:dyDescent="0.3">
      <c r="A221" s="49" t="s">
        <v>469</v>
      </c>
      <c r="B221" s="33" t="s">
        <v>470</v>
      </c>
      <c r="C221" s="37">
        <f>23000+8582-8300-4500-3145</f>
        <v>15637</v>
      </c>
      <c r="D221" s="37"/>
      <c r="E221" s="37"/>
      <c r="F221" s="37">
        <f>51125-3751-30080</f>
        <v>17294</v>
      </c>
      <c r="G221" s="37"/>
      <c r="H221" s="37"/>
      <c r="I221" s="38"/>
      <c r="J221" s="38"/>
      <c r="K221" s="37"/>
      <c r="L221" s="38"/>
      <c r="M221" s="37"/>
      <c r="N221" s="37"/>
      <c r="O221" s="27">
        <f t="shared" si="46"/>
        <v>32931</v>
      </c>
      <c r="P221" s="59"/>
      <c r="Q221" s="59"/>
    </row>
    <row r="222" spans="1:17" s="10" customFormat="1" ht="30" customHeight="1" x14ac:dyDescent="0.3">
      <c r="A222" s="49" t="s">
        <v>327</v>
      </c>
      <c r="B222" s="33" t="s">
        <v>471</v>
      </c>
      <c r="C222" s="37"/>
      <c r="D222" s="37"/>
      <c r="E222" s="37"/>
      <c r="F222" s="37">
        <f>6626+719</f>
        <v>7345</v>
      </c>
      <c r="G222" s="37"/>
      <c r="H222" s="37"/>
      <c r="I222" s="38"/>
      <c r="J222" s="38"/>
      <c r="K222" s="37"/>
      <c r="L222" s="38"/>
      <c r="M222" s="37"/>
      <c r="N222" s="37"/>
      <c r="O222" s="27">
        <f>C222+F222+I222+L222</f>
        <v>7345</v>
      </c>
      <c r="P222" s="59"/>
      <c r="Q222" s="59"/>
    </row>
    <row r="223" spans="1:17" s="10" customFormat="1" ht="28.5" customHeight="1" x14ac:dyDescent="0.3">
      <c r="A223" s="49" t="s">
        <v>328</v>
      </c>
      <c r="B223" s="33" t="s">
        <v>386</v>
      </c>
      <c r="C223" s="37">
        <f>795000+166300</f>
        <v>961300</v>
      </c>
      <c r="D223" s="37"/>
      <c r="E223" s="37"/>
      <c r="F223" s="37">
        <f>6300</f>
        <v>6300</v>
      </c>
      <c r="G223" s="37"/>
      <c r="H223" s="37"/>
      <c r="I223" s="38"/>
      <c r="J223" s="38"/>
      <c r="K223" s="37"/>
      <c r="L223" s="38"/>
      <c r="M223" s="37"/>
      <c r="N223" s="37"/>
      <c r="O223" s="27">
        <f t="shared" si="46"/>
        <v>967600</v>
      </c>
      <c r="P223" s="59"/>
      <c r="Q223" s="59"/>
    </row>
    <row r="224" spans="1:17" s="10" customFormat="1" ht="28.5" customHeight="1" x14ac:dyDescent="0.3">
      <c r="A224" s="49" t="s">
        <v>329</v>
      </c>
      <c r="B224" s="33" t="s">
        <v>472</v>
      </c>
      <c r="C224" s="37">
        <f>24000-4500</f>
        <v>19500</v>
      </c>
      <c r="D224" s="37"/>
      <c r="E224" s="37"/>
      <c r="F224" s="37"/>
      <c r="G224" s="37"/>
      <c r="H224" s="37"/>
      <c r="I224" s="37"/>
      <c r="J224" s="37"/>
      <c r="K224" s="37"/>
      <c r="L224" s="38"/>
      <c r="M224" s="37"/>
      <c r="N224" s="37"/>
      <c r="O224" s="27">
        <f t="shared" si="46"/>
        <v>19500</v>
      </c>
      <c r="P224" s="59"/>
      <c r="Q224" s="59"/>
    </row>
    <row r="225" spans="1:17" s="4" customFormat="1" ht="15.75" customHeight="1" x14ac:dyDescent="0.25">
      <c r="A225" s="49" t="s">
        <v>330</v>
      </c>
      <c r="B225" s="33" t="s">
        <v>473</v>
      </c>
      <c r="C225" s="29">
        <f>353500-73600+11000</f>
        <v>290900</v>
      </c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27">
        <f t="shared" si="46"/>
        <v>290900</v>
      </c>
      <c r="P225" s="58"/>
      <c r="Q225" s="57"/>
    </row>
    <row r="226" spans="1:17" s="4" customFormat="1" ht="45.75" customHeight="1" x14ac:dyDescent="0.25">
      <c r="A226" s="49" t="s">
        <v>331</v>
      </c>
      <c r="B226" s="33" t="s">
        <v>512</v>
      </c>
      <c r="C226" s="29">
        <f>25000+10000+3800+2900</f>
        <v>41700</v>
      </c>
      <c r="D226" s="31"/>
      <c r="E226" s="29"/>
      <c r="F226" s="29">
        <f>27583+10797+3132</f>
        <v>41512</v>
      </c>
      <c r="G226" s="31"/>
      <c r="H226" s="31"/>
      <c r="I226" s="31"/>
      <c r="J226" s="31"/>
      <c r="K226" s="31"/>
      <c r="L226" s="31"/>
      <c r="M226" s="31"/>
      <c r="N226" s="31"/>
      <c r="O226" s="27">
        <f t="shared" si="46"/>
        <v>83212</v>
      </c>
      <c r="P226" s="58"/>
      <c r="Q226" s="57"/>
    </row>
    <row r="227" spans="1:17" s="10" customFormat="1" ht="15.75" customHeight="1" x14ac:dyDescent="0.3">
      <c r="A227" s="49" t="s">
        <v>332</v>
      </c>
      <c r="B227" s="33" t="s">
        <v>179</v>
      </c>
      <c r="C227" s="37">
        <v>1000</v>
      </c>
      <c r="D227" s="37"/>
      <c r="E227" s="37"/>
      <c r="F227" s="38"/>
      <c r="G227" s="37"/>
      <c r="H227" s="37"/>
      <c r="I227" s="38"/>
      <c r="J227" s="38"/>
      <c r="K227" s="37"/>
      <c r="L227" s="38"/>
      <c r="M227" s="37"/>
      <c r="N227" s="37"/>
      <c r="O227" s="27">
        <f t="shared" si="46"/>
        <v>1000</v>
      </c>
      <c r="P227" s="59"/>
      <c r="Q227" s="59"/>
    </row>
    <row r="228" spans="1:17" s="4" customFormat="1" ht="30" customHeight="1" x14ac:dyDescent="0.25">
      <c r="A228" s="49" t="s">
        <v>333</v>
      </c>
      <c r="B228" s="45" t="s">
        <v>435</v>
      </c>
      <c r="C228" s="29">
        <v>222000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27">
        <f t="shared" si="46"/>
        <v>222000</v>
      </c>
      <c r="P228" s="57"/>
      <c r="Q228" s="57"/>
    </row>
    <row r="229" spans="1:17" s="10" customFormat="1" ht="15.75" customHeight="1" x14ac:dyDescent="0.3">
      <c r="A229" s="49" t="s">
        <v>334</v>
      </c>
      <c r="B229" s="33" t="s">
        <v>155</v>
      </c>
      <c r="C229" s="54">
        <v>11000</v>
      </c>
      <c r="D229" s="37"/>
      <c r="E229" s="37"/>
      <c r="F229" s="38"/>
      <c r="G229" s="37"/>
      <c r="H229" s="37"/>
      <c r="I229" s="38"/>
      <c r="J229" s="38"/>
      <c r="K229" s="37"/>
      <c r="L229" s="38"/>
      <c r="M229" s="37"/>
      <c r="N229" s="37"/>
      <c r="O229" s="27">
        <f t="shared" si="46"/>
        <v>11000</v>
      </c>
      <c r="P229" s="59"/>
      <c r="Q229" s="59"/>
    </row>
    <row r="230" spans="1:17" s="10" customFormat="1" ht="15.75" customHeight="1" x14ac:dyDescent="0.3">
      <c r="A230" s="49" t="s">
        <v>335</v>
      </c>
      <c r="B230" s="33" t="s">
        <v>373</v>
      </c>
      <c r="C230" s="37">
        <f>82950-20000</f>
        <v>62950</v>
      </c>
      <c r="D230" s="37"/>
      <c r="E230" s="37"/>
      <c r="F230" s="38"/>
      <c r="G230" s="37"/>
      <c r="H230" s="37"/>
      <c r="I230" s="38"/>
      <c r="J230" s="38"/>
      <c r="K230" s="37"/>
      <c r="L230" s="38"/>
      <c r="M230" s="37"/>
      <c r="N230" s="37"/>
      <c r="O230" s="27">
        <f t="shared" si="46"/>
        <v>62950</v>
      </c>
      <c r="P230" s="59"/>
      <c r="Q230" s="59"/>
    </row>
    <row r="231" spans="1:17" s="10" customFormat="1" ht="15.75" customHeight="1" x14ac:dyDescent="0.3">
      <c r="A231" s="49" t="s">
        <v>336</v>
      </c>
      <c r="B231" s="33" t="s">
        <v>266</v>
      </c>
      <c r="C231" s="37">
        <v>2148</v>
      </c>
      <c r="D231" s="37"/>
      <c r="E231" s="37"/>
      <c r="F231" s="38"/>
      <c r="G231" s="37"/>
      <c r="H231" s="37"/>
      <c r="I231" s="38"/>
      <c r="J231" s="38"/>
      <c r="K231" s="37"/>
      <c r="L231" s="38"/>
      <c r="M231" s="37"/>
      <c r="N231" s="37"/>
      <c r="O231" s="27">
        <f t="shared" si="46"/>
        <v>2148</v>
      </c>
      <c r="P231" s="59"/>
      <c r="Q231" s="59"/>
    </row>
    <row r="232" spans="1:17" s="10" customFormat="1" ht="45.75" customHeight="1" x14ac:dyDescent="0.3">
      <c r="A232" s="49" t="s">
        <v>337</v>
      </c>
      <c r="B232" s="33" t="s">
        <v>568</v>
      </c>
      <c r="C232" s="37">
        <f>5000+14000</f>
        <v>19000</v>
      </c>
      <c r="D232" s="37"/>
      <c r="E232" s="37"/>
      <c r="F232" s="38"/>
      <c r="G232" s="37"/>
      <c r="H232" s="37"/>
      <c r="I232" s="38"/>
      <c r="J232" s="38"/>
      <c r="K232" s="37"/>
      <c r="L232" s="38"/>
      <c r="M232" s="37"/>
      <c r="N232" s="37"/>
      <c r="O232" s="27">
        <f t="shared" si="46"/>
        <v>19000</v>
      </c>
      <c r="P232" s="59"/>
      <c r="Q232" s="59"/>
    </row>
    <row r="233" spans="1:17" s="10" customFormat="1" ht="30.75" customHeight="1" x14ac:dyDescent="0.3">
      <c r="A233" s="49" t="s">
        <v>338</v>
      </c>
      <c r="B233" s="33" t="s">
        <v>182</v>
      </c>
      <c r="C233" s="37">
        <v>23000</v>
      </c>
      <c r="D233" s="37"/>
      <c r="E233" s="37"/>
      <c r="F233" s="38"/>
      <c r="G233" s="37"/>
      <c r="H233" s="37"/>
      <c r="I233" s="38"/>
      <c r="J233" s="38"/>
      <c r="K233" s="37"/>
      <c r="L233" s="38"/>
      <c r="M233" s="37"/>
      <c r="N233" s="37"/>
      <c r="O233" s="27">
        <f>C233+F233+I233+L233</f>
        <v>23000</v>
      </c>
      <c r="P233" s="59"/>
      <c r="Q233" s="59"/>
    </row>
    <row r="234" spans="1:17" s="10" customFormat="1" ht="28.5" customHeight="1" x14ac:dyDescent="0.3">
      <c r="A234" s="49" t="s">
        <v>339</v>
      </c>
      <c r="B234" s="33" t="s">
        <v>555</v>
      </c>
      <c r="C234" s="37">
        <f>187400-20350</f>
        <v>167050</v>
      </c>
      <c r="D234" s="37">
        <v>184150</v>
      </c>
      <c r="E234" s="37"/>
      <c r="F234" s="38"/>
      <c r="G234" s="37"/>
      <c r="H234" s="37"/>
      <c r="I234" s="38"/>
      <c r="J234" s="38"/>
      <c r="K234" s="37"/>
      <c r="L234" s="38"/>
      <c r="M234" s="37"/>
      <c r="N234" s="37"/>
      <c r="O234" s="27">
        <f t="shared" si="46"/>
        <v>167050</v>
      </c>
      <c r="P234" s="59"/>
      <c r="Q234" s="59"/>
    </row>
    <row r="235" spans="1:17" s="10" customFormat="1" ht="30" customHeight="1" x14ac:dyDescent="0.3">
      <c r="A235" s="49" t="s">
        <v>340</v>
      </c>
      <c r="B235" s="60" t="s">
        <v>303</v>
      </c>
      <c r="C235" s="37">
        <f>208800-112521</f>
        <v>96279</v>
      </c>
      <c r="D235" s="37">
        <v>205070</v>
      </c>
      <c r="E235" s="37"/>
      <c r="F235" s="38"/>
      <c r="G235" s="37"/>
      <c r="H235" s="37"/>
      <c r="I235" s="38"/>
      <c r="J235" s="38"/>
      <c r="K235" s="37"/>
      <c r="L235" s="38"/>
      <c r="M235" s="37"/>
      <c r="N235" s="37"/>
      <c r="O235" s="27">
        <f t="shared" si="46"/>
        <v>96279</v>
      </c>
      <c r="P235" s="59"/>
      <c r="Q235" s="59"/>
    </row>
    <row r="236" spans="1:17" s="10" customFormat="1" ht="29.25" customHeight="1" x14ac:dyDescent="0.3">
      <c r="A236" s="49" t="s">
        <v>474</v>
      </c>
      <c r="B236" s="33" t="s">
        <v>180</v>
      </c>
      <c r="C236" s="37">
        <v>601400</v>
      </c>
      <c r="D236" s="37">
        <v>580000</v>
      </c>
      <c r="E236" s="37"/>
      <c r="F236" s="37"/>
      <c r="G236" s="37"/>
      <c r="H236" s="37"/>
      <c r="I236" s="38"/>
      <c r="J236" s="38"/>
      <c r="K236" s="37"/>
      <c r="L236" s="38"/>
      <c r="M236" s="37"/>
      <c r="N236" s="37"/>
      <c r="O236" s="27">
        <f t="shared" si="46"/>
        <v>601400</v>
      </c>
      <c r="P236" s="59"/>
      <c r="Q236" s="59"/>
    </row>
    <row r="237" spans="1:17" s="10" customFormat="1" ht="30" customHeight="1" x14ac:dyDescent="0.3">
      <c r="A237" s="49" t="s">
        <v>375</v>
      </c>
      <c r="B237" s="33" t="s">
        <v>374</v>
      </c>
      <c r="C237" s="37">
        <v>90700</v>
      </c>
      <c r="D237" s="37">
        <v>22700</v>
      </c>
      <c r="E237" s="37"/>
      <c r="F237" s="38"/>
      <c r="G237" s="37"/>
      <c r="H237" s="37"/>
      <c r="I237" s="38"/>
      <c r="J237" s="38"/>
      <c r="K237" s="37"/>
      <c r="L237" s="38"/>
      <c r="M237" s="37"/>
      <c r="N237" s="37"/>
      <c r="O237" s="27">
        <f t="shared" si="46"/>
        <v>90700</v>
      </c>
      <c r="P237" s="59"/>
      <c r="Q237" s="59"/>
    </row>
    <row r="238" spans="1:17" s="10" customFormat="1" ht="29.25" customHeight="1" x14ac:dyDescent="0.3">
      <c r="A238" s="49" t="s">
        <v>427</v>
      </c>
      <c r="B238" s="60" t="s">
        <v>205</v>
      </c>
      <c r="C238" s="37">
        <v>417400</v>
      </c>
      <c r="D238" s="37">
        <v>410140</v>
      </c>
      <c r="E238" s="37"/>
      <c r="F238" s="37"/>
      <c r="G238" s="37"/>
      <c r="H238" s="37"/>
      <c r="I238" s="38"/>
      <c r="J238" s="38"/>
      <c r="K238" s="37"/>
      <c r="L238" s="38"/>
      <c r="M238" s="37"/>
      <c r="N238" s="37"/>
      <c r="O238" s="27">
        <f t="shared" si="46"/>
        <v>417400</v>
      </c>
      <c r="P238" s="59"/>
      <c r="Q238" s="59"/>
    </row>
    <row r="239" spans="1:17" s="10" customFormat="1" ht="45.75" customHeight="1" x14ac:dyDescent="0.3">
      <c r="A239" s="49" t="s">
        <v>475</v>
      </c>
      <c r="B239" s="33" t="s">
        <v>186</v>
      </c>
      <c r="C239" s="37">
        <v>76200</v>
      </c>
      <c r="D239" s="37">
        <v>60000</v>
      </c>
      <c r="E239" s="37"/>
      <c r="F239" s="38"/>
      <c r="G239" s="37"/>
      <c r="H239" s="37"/>
      <c r="I239" s="38"/>
      <c r="J239" s="38"/>
      <c r="K239" s="37"/>
      <c r="L239" s="38"/>
      <c r="M239" s="37"/>
      <c r="N239" s="37"/>
      <c r="O239" s="27">
        <f>C239+F239+I239+L239</f>
        <v>76200</v>
      </c>
      <c r="P239" s="59"/>
      <c r="Q239" s="59"/>
    </row>
    <row r="240" spans="1:17" s="10" customFormat="1" ht="29.25" customHeight="1" x14ac:dyDescent="0.3">
      <c r="A240" s="49" t="s">
        <v>476</v>
      </c>
      <c r="B240" s="60" t="s">
        <v>477</v>
      </c>
      <c r="C240" s="37">
        <f>137400+30520</f>
        <v>167920</v>
      </c>
      <c r="D240" s="37">
        <v>135000</v>
      </c>
      <c r="E240" s="37"/>
      <c r="F240" s="37"/>
      <c r="G240" s="37"/>
      <c r="H240" s="37"/>
      <c r="I240" s="38"/>
      <c r="J240" s="38"/>
      <c r="K240" s="37"/>
      <c r="L240" s="38"/>
      <c r="M240" s="37"/>
      <c r="N240" s="37"/>
      <c r="O240" s="27">
        <f>C240+F240+I240+L240</f>
        <v>167920</v>
      </c>
      <c r="P240" s="59"/>
      <c r="Q240" s="59"/>
    </row>
    <row r="241" spans="1:21" s="10" customFormat="1" ht="29.25" customHeight="1" x14ac:dyDescent="0.3">
      <c r="A241" s="49" t="s">
        <v>478</v>
      </c>
      <c r="B241" s="60" t="s">
        <v>479</v>
      </c>
      <c r="C241" s="37">
        <f>142000-37000-43187+102351</f>
        <v>164164</v>
      </c>
      <c r="D241" s="37">
        <v>120000</v>
      </c>
      <c r="E241" s="37"/>
      <c r="F241" s="37"/>
      <c r="G241" s="37"/>
      <c r="H241" s="37"/>
      <c r="I241" s="38"/>
      <c r="J241" s="38"/>
      <c r="K241" s="37"/>
      <c r="L241" s="38"/>
      <c r="M241" s="37"/>
      <c r="N241" s="37"/>
      <c r="O241" s="27">
        <f>C241+F241+I241+L241</f>
        <v>164164</v>
      </c>
      <c r="P241" s="59"/>
      <c r="Q241" s="59"/>
    </row>
    <row r="242" spans="1:21" s="10" customFormat="1" ht="30" customHeight="1" x14ac:dyDescent="0.3">
      <c r="A242" s="49" t="s">
        <v>480</v>
      </c>
      <c r="B242" s="33" t="s">
        <v>481</v>
      </c>
      <c r="C242" s="37">
        <v>48440</v>
      </c>
      <c r="D242" s="37">
        <v>40000</v>
      </c>
      <c r="E242" s="37"/>
      <c r="F242" s="38"/>
      <c r="G242" s="37"/>
      <c r="H242" s="37"/>
      <c r="I242" s="38"/>
      <c r="J242" s="38"/>
      <c r="K242" s="37"/>
      <c r="L242" s="38"/>
      <c r="M242" s="37"/>
      <c r="N242" s="37"/>
      <c r="O242" s="27">
        <f t="shared" si="46"/>
        <v>48440</v>
      </c>
      <c r="P242" s="59"/>
      <c r="Q242" s="59"/>
    </row>
    <row r="243" spans="1:21" s="10" customFormat="1" ht="33" customHeight="1" x14ac:dyDescent="0.3">
      <c r="A243" s="49" t="s">
        <v>428</v>
      </c>
      <c r="B243" s="33" t="s">
        <v>482</v>
      </c>
      <c r="C243" s="37"/>
      <c r="D243" s="37"/>
      <c r="E243" s="37"/>
      <c r="F243" s="37">
        <v>6750</v>
      </c>
      <c r="G243" s="37"/>
      <c r="H243" s="37"/>
      <c r="I243" s="38"/>
      <c r="J243" s="38"/>
      <c r="K243" s="37"/>
      <c r="L243" s="38"/>
      <c r="M243" s="37"/>
      <c r="N243" s="37"/>
      <c r="O243" s="27">
        <f t="shared" si="46"/>
        <v>6750</v>
      </c>
      <c r="Q243" s="93"/>
      <c r="T243" s="93"/>
      <c r="U243" s="93"/>
    </row>
    <row r="244" spans="1:21" s="10" customFormat="1" ht="30.75" customHeight="1" x14ac:dyDescent="0.3">
      <c r="A244" s="49" t="s">
        <v>551</v>
      </c>
      <c r="B244" s="33" t="s">
        <v>429</v>
      </c>
      <c r="C244" s="37"/>
      <c r="D244" s="37"/>
      <c r="E244" s="37"/>
      <c r="F244" s="37">
        <v>445</v>
      </c>
      <c r="G244" s="37"/>
      <c r="H244" s="37"/>
      <c r="I244" s="38"/>
      <c r="J244" s="38"/>
      <c r="K244" s="37"/>
      <c r="L244" s="38"/>
      <c r="M244" s="37"/>
      <c r="N244" s="37"/>
      <c r="O244" s="27">
        <f t="shared" si="46"/>
        <v>445</v>
      </c>
      <c r="Q244" s="93"/>
      <c r="T244" s="93"/>
      <c r="U244" s="93"/>
    </row>
    <row r="245" spans="1:21" s="10" customFormat="1" ht="30.75" customHeight="1" x14ac:dyDescent="0.3">
      <c r="A245" s="49" t="s">
        <v>554</v>
      </c>
      <c r="B245" s="33" t="s">
        <v>552</v>
      </c>
      <c r="C245" s="37"/>
      <c r="D245" s="37"/>
      <c r="E245" s="37"/>
      <c r="F245" s="37">
        <f>18391+9814</f>
        <v>28205</v>
      </c>
      <c r="G245" s="37"/>
      <c r="H245" s="37"/>
      <c r="I245" s="38"/>
      <c r="J245" s="38"/>
      <c r="K245" s="37"/>
      <c r="L245" s="38"/>
      <c r="M245" s="37"/>
      <c r="N245" s="37"/>
      <c r="O245" s="27">
        <f t="shared" si="46"/>
        <v>28205</v>
      </c>
      <c r="Q245" s="93"/>
      <c r="T245" s="93"/>
      <c r="U245" s="93"/>
    </row>
    <row r="246" spans="1:21" s="10" customFormat="1" ht="15.6" x14ac:dyDescent="0.3">
      <c r="A246" s="49" t="s">
        <v>556</v>
      </c>
      <c r="B246" s="33" t="s">
        <v>553</v>
      </c>
      <c r="C246" s="37"/>
      <c r="D246" s="37"/>
      <c r="E246" s="37"/>
      <c r="F246" s="37">
        <v>100000</v>
      </c>
      <c r="G246" s="37"/>
      <c r="H246" s="37"/>
      <c r="I246" s="38"/>
      <c r="J246" s="38"/>
      <c r="K246" s="37"/>
      <c r="L246" s="38"/>
      <c r="M246" s="37"/>
      <c r="N246" s="37"/>
      <c r="O246" s="27">
        <f>C246+F246+I246+L246</f>
        <v>100000</v>
      </c>
      <c r="Q246" s="93"/>
      <c r="T246" s="93"/>
      <c r="U246" s="93"/>
    </row>
    <row r="247" spans="1:21" s="10" customFormat="1" ht="15.6" x14ac:dyDescent="0.3">
      <c r="A247" s="49" t="s">
        <v>571</v>
      </c>
      <c r="B247" s="33" t="s">
        <v>572</v>
      </c>
      <c r="C247" s="37"/>
      <c r="D247" s="37"/>
      <c r="E247" s="37"/>
      <c r="F247" s="37">
        <v>1700</v>
      </c>
      <c r="G247" s="37"/>
      <c r="H247" s="37"/>
      <c r="I247" s="38"/>
      <c r="J247" s="38"/>
      <c r="K247" s="37"/>
      <c r="L247" s="38"/>
      <c r="M247" s="37"/>
      <c r="N247" s="37"/>
      <c r="O247" s="27">
        <f>C247+F247+I247+L247</f>
        <v>1700</v>
      </c>
      <c r="Q247" s="93"/>
      <c r="T247" s="93"/>
      <c r="U247" s="93"/>
    </row>
    <row r="248" spans="1:21" s="4" customFormat="1" ht="18" customHeight="1" x14ac:dyDescent="0.25">
      <c r="A248" s="27" t="s">
        <v>146</v>
      </c>
      <c r="B248" s="42" t="s">
        <v>12</v>
      </c>
      <c r="C248" s="27">
        <f>246000-142000+142000+9700+24000</f>
        <v>279700</v>
      </c>
      <c r="D248" s="27">
        <f>242500-120000+120000</f>
        <v>242500</v>
      </c>
      <c r="E248" s="27"/>
      <c r="F248" s="27">
        <f>16000-5000</f>
        <v>11000</v>
      </c>
      <c r="G248" s="27">
        <f>15770-4920</f>
        <v>10850</v>
      </c>
      <c r="H248" s="27"/>
      <c r="I248" s="27"/>
      <c r="J248" s="27"/>
      <c r="K248" s="27"/>
      <c r="L248" s="27">
        <f>237000+14500</f>
        <v>251500</v>
      </c>
      <c r="M248" s="27">
        <v>147511</v>
      </c>
      <c r="N248" s="27"/>
      <c r="O248" s="27">
        <f t="shared" si="46"/>
        <v>542200</v>
      </c>
      <c r="P248" s="57"/>
      <c r="Q248" s="57"/>
    </row>
    <row r="249" spans="1:21" s="4" customFormat="1" ht="16.5" customHeight="1" x14ac:dyDescent="0.25">
      <c r="A249" s="27" t="s">
        <v>147</v>
      </c>
      <c r="B249" s="42" t="s">
        <v>304</v>
      </c>
      <c r="C249" s="27">
        <f>152000+107000+43187-2900</f>
        <v>299287</v>
      </c>
      <c r="D249" s="27">
        <f>240000-120000</f>
        <v>120000</v>
      </c>
      <c r="E249" s="27"/>
      <c r="F249" s="27">
        <f>20000+545+4444</f>
        <v>24989</v>
      </c>
      <c r="G249" s="27">
        <f>14790+4920</f>
        <v>19710</v>
      </c>
      <c r="H249" s="27"/>
      <c r="I249" s="27"/>
      <c r="J249" s="27"/>
      <c r="K249" s="27"/>
      <c r="L249" s="27">
        <f>4800+181374-3770-90580</f>
        <v>91824</v>
      </c>
      <c r="M249" s="27">
        <v>178782</v>
      </c>
      <c r="N249" s="27"/>
      <c r="O249" s="27">
        <f>C249+F249+I249+L249</f>
        <v>416100</v>
      </c>
      <c r="P249" s="57"/>
      <c r="Q249" s="57"/>
    </row>
    <row r="250" spans="1:21" s="7" customFormat="1" ht="18" customHeight="1" x14ac:dyDescent="0.25">
      <c r="A250" s="27"/>
      <c r="B250" s="50" t="s">
        <v>23</v>
      </c>
      <c r="C250" s="63">
        <f t="shared" ref="C250:N250" si="47">C12+C41+C48+C56+C89+C115+C146+C204</f>
        <v>29234138</v>
      </c>
      <c r="D250" s="63">
        <f t="shared" si="47"/>
        <v>16004721</v>
      </c>
      <c r="E250" s="63">
        <f t="shared" si="47"/>
        <v>0</v>
      </c>
      <c r="F250" s="63">
        <f t="shared" si="47"/>
        <v>8437692</v>
      </c>
      <c r="G250" s="63">
        <f t="shared" si="47"/>
        <v>2075585</v>
      </c>
      <c r="H250" s="63">
        <f t="shared" si="47"/>
        <v>195370</v>
      </c>
      <c r="I250" s="63">
        <f>I12+I41+I48+I56+I89+I115+I146+I204</f>
        <v>12645800</v>
      </c>
      <c r="J250" s="63">
        <f t="shared" si="47"/>
        <v>10193706</v>
      </c>
      <c r="K250" s="63">
        <f t="shared" si="47"/>
        <v>0</v>
      </c>
      <c r="L250" s="63">
        <f t="shared" si="47"/>
        <v>2773903</v>
      </c>
      <c r="M250" s="63">
        <f t="shared" si="47"/>
        <v>374423</v>
      </c>
      <c r="N250" s="63">
        <f t="shared" si="47"/>
        <v>0</v>
      </c>
      <c r="O250" s="63">
        <f>O12+O41+O48+O56+O89+O115+O146+O204</f>
        <v>53091533</v>
      </c>
      <c r="P250" s="57"/>
      <c r="Q250" s="57"/>
    </row>
    <row r="251" spans="1:21" s="10" customFormat="1" ht="15.75" customHeight="1" x14ac:dyDescent="0.3">
      <c r="A251" s="27" t="s">
        <v>148</v>
      </c>
      <c r="B251" s="42" t="s">
        <v>22</v>
      </c>
      <c r="C251" s="38">
        <f>SUM(C253,C252)</f>
        <v>1083664</v>
      </c>
      <c r="D251" s="37"/>
      <c r="E251" s="37"/>
      <c r="F251" s="38">
        <f>SUM(F253)</f>
        <v>0</v>
      </c>
      <c r="G251" s="37"/>
      <c r="H251" s="37"/>
      <c r="I251" s="38"/>
      <c r="J251" s="38"/>
      <c r="K251" s="37"/>
      <c r="L251" s="38"/>
      <c r="M251" s="37"/>
      <c r="N251" s="37"/>
      <c r="O251" s="27">
        <f>C251+F251+I251+L251</f>
        <v>1083664</v>
      </c>
      <c r="P251" s="57"/>
      <c r="Q251" s="57"/>
    </row>
    <row r="252" spans="1:21" s="7" customFormat="1" ht="18" customHeight="1" x14ac:dyDescent="0.25">
      <c r="A252" s="66" t="s">
        <v>341</v>
      </c>
      <c r="B252" s="45" t="s">
        <v>197</v>
      </c>
      <c r="C252" s="29">
        <f>927100-25000</f>
        <v>902100</v>
      </c>
      <c r="D252" s="31"/>
      <c r="E252" s="29"/>
      <c r="F252" s="31"/>
      <c r="G252" s="31"/>
      <c r="H252" s="31"/>
      <c r="I252" s="31"/>
      <c r="J252" s="31"/>
      <c r="K252" s="31"/>
      <c r="L252" s="31"/>
      <c r="M252" s="31"/>
      <c r="N252" s="31"/>
      <c r="O252" s="27">
        <f>C252+F252+I252+L252</f>
        <v>902100</v>
      </c>
      <c r="P252" s="58"/>
      <c r="Q252" s="58"/>
    </row>
    <row r="253" spans="1:21" s="7" customFormat="1" ht="18" customHeight="1" x14ac:dyDescent="0.25">
      <c r="A253" s="66" t="s">
        <v>341</v>
      </c>
      <c r="B253" s="45" t="s">
        <v>483</v>
      </c>
      <c r="C253" s="29">
        <f>156564+25000</f>
        <v>181564</v>
      </c>
      <c r="D253" s="31"/>
      <c r="E253" s="29"/>
      <c r="F253" s="31"/>
      <c r="G253" s="31"/>
      <c r="H253" s="31"/>
      <c r="I253" s="31"/>
      <c r="J253" s="31"/>
      <c r="K253" s="31"/>
      <c r="L253" s="31"/>
      <c r="M253" s="31"/>
      <c r="N253" s="31"/>
      <c r="O253" s="27">
        <f>C253+F253+I253+L253</f>
        <v>181564</v>
      </c>
      <c r="P253" s="58"/>
      <c r="Q253" s="58"/>
    </row>
    <row r="254" spans="1:21" s="2" customFormat="1" ht="18.75" customHeight="1" x14ac:dyDescent="0.3">
      <c r="A254" s="41"/>
      <c r="B254" s="32"/>
      <c r="C254" s="1"/>
      <c r="F254" s="9"/>
      <c r="I254" s="9"/>
      <c r="J254" s="9"/>
      <c r="K254" s="7"/>
      <c r="L254" s="9"/>
      <c r="O254" s="1"/>
      <c r="P254" s="17"/>
      <c r="Q254" s="17"/>
    </row>
    <row r="255" spans="1:21" s="7" customFormat="1" ht="15" customHeight="1" x14ac:dyDescent="0.25">
      <c r="A255" s="41"/>
      <c r="B255" s="32"/>
      <c r="C255" s="9"/>
      <c r="F255" s="9"/>
      <c r="I255" s="9"/>
      <c r="J255" s="9"/>
      <c r="L255" s="9"/>
      <c r="P255" s="58"/>
      <c r="Q255" s="58"/>
    </row>
    <row r="256" spans="1:21" s="7" customFormat="1" ht="15" customHeight="1" x14ac:dyDescent="0.25">
      <c r="A256" s="41"/>
      <c r="B256" s="32"/>
      <c r="C256" s="78"/>
      <c r="D256" s="79"/>
      <c r="E256" s="79"/>
      <c r="F256" s="78"/>
      <c r="I256" s="9"/>
      <c r="J256" s="9"/>
      <c r="L256" s="9"/>
      <c r="P256" s="58"/>
      <c r="Q256" s="58"/>
    </row>
    <row r="257" spans="1:17" s="7" customFormat="1" ht="15" customHeight="1" x14ac:dyDescent="0.25">
      <c r="A257" s="41"/>
      <c r="B257" s="32"/>
      <c r="C257" s="9"/>
      <c r="F257" s="9"/>
      <c r="I257" s="9"/>
      <c r="J257" s="9"/>
      <c r="L257" s="9"/>
      <c r="P257" s="58"/>
      <c r="Q257" s="58"/>
    </row>
  </sheetData>
  <mergeCells count="17">
    <mergeCell ref="B88:O88"/>
    <mergeCell ref="B114:O114"/>
    <mergeCell ref="B145:O145"/>
    <mergeCell ref="B203:O203"/>
    <mergeCell ref="B55:O55"/>
    <mergeCell ref="F4:O4"/>
    <mergeCell ref="F3:O3"/>
    <mergeCell ref="F2:O2"/>
    <mergeCell ref="F5:I5"/>
    <mergeCell ref="B47:O47"/>
    <mergeCell ref="B7:K7"/>
    <mergeCell ref="C9:E9"/>
    <mergeCell ref="F9:H9"/>
    <mergeCell ref="I9:K9"/>
    <mergeCell ref="B40:O40"/>
    <mergeCell ref="L9:N9"/>
    <mergeCell ref="B11:O11"/>
  </mergeCells>
  <pageMargins left="0.47244094488188981" right="0" top="0.70866141732283472" bottom="0.28000000000000003" header="0.31496062992125984" footer="0.17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D45"/>
  <sheetViews>
    <sheetView workbookViewId="0">
      <selection activeCell="E12" sqref="E12"/>
    </sheetView>
  </sheetViews>
  <sheetFormatPr defaultRowHeight="13.2" x14ac:dyDescent="0.25"/>
  <cols>
    <col min="1" max="1" width="8.33203125" style="111" customWidth="1"/>
    <col min="2" max="2" width="65.6640625" style="15" customWidth="1"/>
    <col min="3" max="3" width="15.88671875" style="15" customWidth="1"/>
    <col min="4" max="4" width="3.6640625" style="15" customWidth="1"/>
    <col min="5" max="252" width="9.109375" style="15"/>
    <col min="253" max="253" width="8.33203125" style="15" customWidth="1"/>
    <col min="254" max="254" width="65.6640625" style="15" customWidth="1"/>
    <col min="255" max="255" width="15.88671875" style="15" customWidth="1"/>
    <col min="256" max="256" width="3.6640625" style="15" customWidth="1"/>
    <col min="257" max="508" width="9.109375" style="15"/>
    <col min="509" max="509" width="8.33203125" style="15" customWidth="1"/>
    <col min="510" max="510" width="65.6640625" style="15" customWidth="1"/>
    <col min="511" max="511" width="15.88671875" style="15" customWidth="1"/>
    <col min="512" max="512" width="3.6640625" style="15" customWidth="1"/>
    <col min="513" max="764" width="9.109375" style="15"/>
    <col min="765" max="765" width="8.33203125" style="15" customWidth="1"/>
    <col min="766" max="766" width="65.6640625" style="15" customWidth="1"/>
    <col min="767" max="767" width="15.88671875" style="15" customWidth="1"/>
    <col min="768" max="768" width="3.6640625" style="15" customWidth="1"/>
    <col min="769" max="1020" width="9.109375" style="15"/>
    <col min="1021" max="1021" width="8.33203125" style="15" customWidth="1"/>
    <col min="1022" max="1022" width="65.6640625" style="15" customWidth="1"/>
    <col min="1023" max="1023" width="15.88671875" style="15" customWidth="1"/>
    <col min="1024" max="1024" width="3.6640625" style="15" customWidth="1"/>
    <col min="1025" max="1276" width="9.109375" style="15"/>
    <col min="1277" max="1277" width="8.33203125" style="15" customWidth="1"/>
    <col min="1278" max="1278" width="65.6640625" style="15" customWidth="1"/>
    <col min="1279" max="1279" width="15.88671875" style="15" customWidth="1"/>
    <col min="1280" max="1280" width="3.6640625" style="15" customWidth="1"/>
    <col min="1281" max="1532" width="9.109375" style="15"/>
    <col min="1533" max="1533" width="8.33203125" style="15" customWidth="1"/>
    <col min="1534" max="1534" width="65.6640625" style="15" customWidth="1"/>
    <col min="1535" max="1535" width="15.88671875" style="15" customWidth="1"/>
    <col min="1536" max="1536" width="3.6640625" style="15" customWidth="1"/>
    <col min="1537" max="1788" width="9.109375" style="15"/>
    <col min="1789" max="1789" width="8.33203125" style="15" customWidth="1"/>
    <col min="1790" max="1790" width="65.6640625" style="15" customWidth="1"/>
    <col min="1791" max="1791" width="15.88671875" style="15" customWidth="1"/>
    <col min="1792" max="1792" width="3.6640625" style="15" customWidth="1"/>
    <col min="1793" max="2044" width="9.109375" style="15"/>
    <col min="2045" max="2045" width="8.33203125" style="15" customWidth="1"/>
    <col min="2046" max="2046" width="65.6640625" style="15" customWidth="1"/>
    <col min="2047" max="2047" width="15.88671875" style="15" customWidth="1"/>
    <col min="2048" max="2048" width="3.6640625" style="15" customWidth="1"/>
    <col min="2049" max="2300" width="9.109375" style="15"/>
    <col min="2301" max="2301" width="8.33203125" style="15" customWidth="1"/>
    <col min="2302" max="2302" width="65.6640625" style="15" customWidth="1"/>
    <col min="2303" max="2303" width="15.88671875" style="15" customWidth="1"/>
    <col min="2304" max="2304" width="3.6640625" style="15" customWidth="1"/>
    <col min="2305" max="2556" width="9.109375" style="15"/>
    <col min="2557" max="2557" width="8.33203125" style="15" customWidth="1"/>
    <col min="2558" max="2558" width="65.6640625" style="15" customWidth="1"/>
    <col min="2559" max="2559" width="15.88671875" style="15" customWidth="1"/>
    <col min="2560" max="2560" width="3.6640625" style="15" customWidth="1"/>
    <col min="2561" max="2812" width="9.109375" style="15"/>
    <col min="2813" max="2813" width="8.33203125" style="15" customWidth="1"/>
    <col min="2814" max="2814" width="65.6640625" style="15" customWidth="1"/>
    <col min="2815" max="2815" width="15.88671875" style="15" customWidth="1"/>
    <col min="2816" max="2816" width="3.6640625" style="15" customWidth="1"/>
    <col min="2817" max="3068" width="9.109375" style="15"/>
    <col min="3069" max="3069" width="8.33203125" style="15" customWidth="1"/>
    <col min="3070" max="3070" width="65.6640625" style="15" customWidth="1"/>
    <col min="3071" max="3071" width="15.88671875" style="15" customWidth="1"/>
    <col min="3072" max="3072" width="3.6640625" style="15" customWidth="1"/>
    <col min="3073" max="3324" width="9.109375" style="15"/>
    <col min="3325" max="3325" width="8.33203125" style="15" customWidth="1"/>
    <col min="3326" max="3326" width="65.6640625" style="15" customWidth="1"/>
    <col min="3327" max="3327" width="15.88671875" style="15" customWidth="1"/>
    <col min="3328" max="3328" width="3.6640625" style="15" customWidth="1"/>
    <col min="3329" max="3580" width="9.109375" style="15"/>
    <col min="3581" max="3581" width="8.33203125" style="15" customWidth="1"/>
    <col min="3582" max="3582" width="65.6640625" style="15" customWidth="1"/>
    <col min="3583" max="3583" width="15.88671875" style="15" customWidth="1"/>
    <col min="3584" max="3584" width="3.6640625" style="15" customWidth="1"/>
    <col min="3585" max="3836" width="9.109375" style="15"/>
    <col min="3837" max="3837" width="8.33203125" style="15" customWidth="1"/>
    <col min="3838" max="3838" width="65.6640625" style="15" customWidth="1"/>
    <col min="3839" max="3839" width="15.88671875" style="15" customWidth="1"/>
    <col min="3840" max="3840" width="3.6640625" style="15" customWidth="1"/>
    <col min="3841" max="4092" width="9.109375" style="15"/>
    <col min="4093" max="4093" width="8.33203125" style="15" customWidth="1"/>
    <col min="4094" max="4094" width="65.6640625" style="15" customWidth="1"/>
    <col min="4095" max="4095" width="15.88671875" style="15" customWidth="1"/>
    <col min="4096" max="4096" width="3.6640625" style="15" customWidth="1"/>
    <col min="4097" max="4348" width="9.109375" style="15"/>
    <col min="4349" max="4349" width="8.33203125" style="15" customWidth="1"/>
    <col min="4350" max="4350" width="65.6640625" style="15" customWidth="1"/>
    <col min="4351" max="4351" width="15.88671875" style="15" customWidth="1"/>
    <col min="4352" max="4352" width="3.6640625" style="15" customWidth="1"/>
    <col min="4353" max="4604" width="9.109375" style="15"/>
    <col min="4605" max="4605" width="8.33203125" style="15" customWidth="1"/>
    <col min="4606" max="4606" width="65.6640625" style="15" customWidth="1"/>
    <col min="4607" max="4607" width="15.88671875" style="15" customWidth="1"/>
    <col min="4608" max="4608" width="3.6640625" style="15" customWidth="1"/>
    <col min="4609" max="4860" width="9.109375" style="15"/>
    <col min="4861" max="4861" width="8.33203125" style="15" customWidth="1"/>
    <col min="4862" max="4862" width="65.6640625" style="15" customWidth="1"/>
    <col min="4863" max="4863" width="15.88671875" style="15" customWidth="1"/>
    <col min="4864" max="4864" width="3.6640625" style="15" customWidth="1"/>
    <col min="4865" max="5116" width="9.109375" style="15"/>
    <col min="5117" max="5117" width="8.33203125" style="15" customWidth="1"/>
    <col min="5118" max="5118" width="65.6640625" style="15" customWidth="1"/>
    <col min="5119" max="5119" width="15.88671875" style="15" customWidth="1"/>
    <col min="5120" max="5120" width="3.6640625" style="15" customWidth="1"/>
    <col min="5121" max="5372" width="9.109375" style="15"/>
    <col min="5373" max="5373" width="8.33203125" style="15" customWidth="1"/>
    <col min="5374" max="5374" width="65.6640625" style="15" customWidth="1"/>
    <col min="5375" max="5375" width="15.88671875" style="15" customWidth="1"/>
    <col min="5376" max="5376" width="3.6640625" style="15" customWidth="1"/>
    <col min="5377" max="5628" width="9.109375" style="15"/>
    <col min="5629" max="5629" width="8.33203125" style="15" customWidth="1"/>
    <col min="5630" max="5630" width="65.6640625" style="15" customWidth="1"/>
    <col min="5631" max="5631" width="15.88671875" style="15" customWidth="1"/>
    <col min="5632" max="5632" width="3.6640625" style="15" customWidth="1"/>
    <col min="5633" max="5884" width="9.109375" style="15"/>
    <col min="5885" max="5885" width="8.33203125" style="15" customWidth="1"/>
    <col min="5886" max="5886" width="65.6640625" style="15" customWidth="1"/>
    <col min="5887" max="5887" width="15.88671875" style="15" customWidth="1"/>
    <col min="5888" max="5888" width="3.6640625" style="15" customWidth="1"/>
    <col min="5889" max="6140" width="9.109375" style="15"/>
    <col min="6141" max="6141" width="8.33203125" style="15" customWidth="1"/>
    <col min="6142" max="6142" width="65.6640625" style="15" customWidth="1"/>
    <col min="6143" max="6143" width="15.88671875" style="15" customWidth="1"/>
    <col min="6144" max="6144" width="3.6640625" style="15" customWidth="1"/>
    <col min="6145" max="6396" width="9.109375" style="15"/>
    <col min="6397" max="6397" width="8.33203125" style="15" customWidth="1"/>
    <col min="6398" max="6398" width="65.6640625" style="15" customWidth="1"/>
    <col min="6399" max="6399" width="15.88671875" style="15" customWidth="1"/>
    <col min="6400" max="6400" width="3.6640625" style="15" customWidth="1"/>
    <col min="6401" max="6652" width="9.109375" style="15"/>
    <col min="6653" max="6653" width="8.33203125" style="15" customWidth="1"/>
    <col min="6654" max="6654" width="65.6640625" style="15" customWidth="1"/>
    <col min="6655" max="6655" width="15.88671875" style="15" customWidth="1"/>
    <col min="6656" max="6656" width="3.6640625" style="15" customWidth="1"/>
    <col min="6657" max="6908" width="9.109375" style="15"/>
    <col min="6909" max="6909" width="8.33203125" style="15" customWidth="1"/>
    <col min="6910" max="6910" width="65.6640625" style="15" customWidth="1"/>
    <col min="6911" max="6911" width="15.88671875" style="15" customWidth="1"/>
    <col min="6912" max="6912" width="3.6640625" style="15" customWidth="1"/>
    <col min="6913" max="7164" width="9.109375" style="15"/>
    <col min="7165" max="7165" width="8.33203125" style="15" customWidth="1"/>
    <col min="7166" max="7166" width="65.6640625" style="15" customWidth="1"/>
    <col min="7167" max="7167" width="15.88671875" style="15" customWidth="1"/>
    <col min="7168" max="7168" width="3.6640625" style="15" customWidth="1"/>
    <col min="7169" max="7420" width="9.109375" style="15"/>
    <col min="7421" max="7421" width="8.33203125" style="15" customWidth="1"/>
    <col min="7422" max="7422" width="65.6640625" style="15" customWidth="1"/>
    <col min="7423" max="7423" width="15.88671875" style="15" customWidth="1"/>
    <col min="7424" max="7424" width="3.6640625" style="15" customWidth="1"/>
    <col min="7425" max="7676" width="9.109375" style="15"/>
    <col min="7677" max="7677" width="8.33203125" style="15" customWidth="1"/>
    <col min="7678" max="7678" width="65.6640625" style="15" customWidth="1"/>
    <col min="7679" max="7679" width="15.88671875" style="15" customWidth="1"/>
    <col min="7680" max="7680" width="3.6640625" style="15" customWidth="1"/>
    <col min="7681" max="7932" width="9.109375" style="15"/>
    <col min="7933" max="7933" width="8.33203125" style="15" customWidth="1"/>
    <col min="7934" max="7934" width="65.6640625" style="15" customWidth="1"/>
    <col min="7935" max="7935" width="15.88671875" style="15" customWidth="1"/>
    <col min="7936" max="7936" width="3.6640625" style="15" customWidth="1"/>
    <col min="7937" max="8188" width="9.109375" style="15"/>
    <col min="8189" max="8189" width="8.33203125" style="15" customWidth="1"/>
    <col min="8190" max="8190" width="65.6640625" style="15" customWidth="1"/>
    <col min="8191" max="8191" width="15.88671875" style="15" customWidth="1"/>
    <col min="8192" max="8192" width="3.6640625" style="15" customWidth="1"/>
    <col min="8193" max="8444" width="9.109375" style="15"/>
    <col min="8445" max="8445" width="8.33203125" style="15" customWidth="1"/>
    <col min="8446" max="8446" width="65.6640625" style="15" customWidth="1"/>
    <col min="8447" max="8447" width="15.88671875" style="15" customWidth="1"/>
    <col min="8448" max="8448" width="3.6640625" style="15" customWidth="1"/>
    <col min="8449" max="8700" width="9.109375" style="15"/>
    <col min="8701" max="8701" width="8.33203125" style="15" customWidth="1"/>
    <col min="8702" max="8702" width="65.6640625" style="15" customWidth="1"/>
    <col min="8703" max="8703" width="15.88671875" style="15" customWidth="1"/>
    <col min="8704" max="8704" width="3.6640625" style="15" customWidth="1"/>
    <col min="8705" max="8956" width="9.109375" style="15"/>
    <col min="8957" max="8957" width="8.33203125" style="15" customWidth="1"/>
    <col min="8958" max="8958" width="65.6640625" style="15" customWidth="1"/>
    <col min="8959" max="8959" width="15.88671875" style="15" customWidth="1"/>
    <col min="8960" max="8960" width="3.6640625" style="15" customWidth="1"/>
    <col min="8961" max="9212" width="9.109375" style="15"/>
    <col min="9213" max="9213" width="8.33203125" style="15" customWidth="1"/>
    <col min="9214" max="9214" width="65.6640625" style="15" customWidth="1"/>
    <col min="9215" max="9215" width="15.88671875" style="15" customWidth="1"/>
    <col min="9216" max="9216" width="3.6640625" style="15" customWidth="1"/>
    <col min="9217" max="9468" width="9.109375" style="15"/>
    <col min="9469" max="9469" width="8.33203125" style="15" customWidth="1"/>
    <col min="9470" max="9470" width="65.6640625" style="15" customWidth="1"/>
    <col min="9471" max="9471" width="15.88671875" style="15" customWidth="1"/>
    <col min="9472" max="9472" width="3.6640625" style="15" customWidth="1"/>
    <col min="9473" max="9724" width="9.109375" style="15"/>
    <col min="9725" max="9725" width="8.33203125" style="15" customWidth="1"/>
    <col min="9726" max="9726" width="65.6640625" style="15" customWidth="1"/>
    <col min="9727" max="9727" width="15.88671875" style="15" customWidth="1"/>
    <col min="9728" max="9728" width="3.6640625" style="15" customWidth="1"/>
    <col min="9729" max="9980" width="9.109375" style="15"/>
    <col min="9981" max="9981" width="8.33203125" style="15" customWidth="1"/>
    <col min="9982" max="9982" width="65.6640625" style="15" customWidth="1"/>
    <col min="9983" max="9983" width="15.88671875" style="15" customWidth="1"/>
    <col min="9984" max="9984" width="3.6640625" style="15" customWidth="1"/>
    <col min="9985" max="10236" width="9.109375" style="15"/>
    <col min="10237" max="10237" width="8.33203125" style="15" customWidth="1"/>
    <col min="10238" max="10238" width="65.6640625" style="15" customWidth="1"/>
    <col min="10239" max="10239" width="15.88671875" style="15" customWidth="1"/>
    <col min="10240" max="10240" width="3.6640625" style="15" customWidth="1"/>
    <col min="10241" max="10492" width="9.109375" style="15"/>
    <col min="10493" max="10493" width="8.33203125" style="15" customWidth="1"/>
    <col min="10494" max="10494" width="65.6640625" style="15" customWidth="1"/>
    <col min="10495" max="10495" width="15.88671875" style="15" customWidth="1"/>
    <col min="10496" max="10496" width="3.6640625" style="15" customWidth="1"/>
    <col min="10497" max="10748" width="9.109375" style="15"/>
    <col min="10749" max="10749" width="8.33203125" style="15" customWidth="1"/>
    <col min="10750" max="10750" width="65.6640625" style="15" customWidth="1"/>
    <col min="10751" max="10751" width="15.88671875" style="15" customWidth="1"/>
    <col min="10752" max="10752" width="3.6640625" style="15" customWidth="1"/>
    <col min="10753" max="11004" width="9.109375" style="15"/>
    <col min="11005" max="11005" width="8.33203125" style="15" customWidth="1"/>
    <col min="11006" max="11006" width="65.6640625" style="15" customWidth="1"/>
    <col min="11007" max="11007" width="15.88671875" style="15" customWidth="1"/>
    <col min="11008" max="11008" width="3.6640625" style="15" customWidth="1"/>
    <col min="11009" max="11260" width="9.109375" style="15"/>
    <col min="11261" max="11261" width="8.33203125" style="15" customWidth="1"/>
    <col min="11262" max="11262" width="65.6640625" style="15" customWidth="1"/>
    <col min="11263" max="11263" width="15.88671875" style="15" customWidth="1"/>
    <col min="11264" max="11264" width="3.6640625" style="15" customWidth="1"/>
    <col min="11265" max="11516" width="9.109375" style="15"/>
    <col min="11517" max="11517" width="8.33203125" style="15" customWidth="1"/>
    <col min="11518" max="11518" width="65.6640625" style="15" customWidth="1"/>
    <col min="11519" max="11519" width="15.88671875" style="15" customWidth="1"/>
    <col min="11520" max="11520" width="3.6640625" style="15" customWidth="1"/>
    <col min="11521" max="11772" width="9.109375" style="15"/>
    <col min="11773" max="11773" width="8.33203125" style="15" customWidth="1"/>
    <col min="11774" max="11774" width="65.6640625" style="15" customWidth="1"/>
    <col min="11775" max="11775" width="15.88671875" style="15" customWidth="1"/>
    <col min="11776" max="11776" width="3.6640625" style="15" customWidth="1"/>
    <col min="11777" max="12028" width="9.109375" style="15"/>
    <col min="12029" max="12029" width="8.33203125" style="15" customWidth="1"/>
    <col min="12030" max="12030" width="65.6640625" style="15" customWidth="1"/>
    <col min="12031" max="12031" width="15.88671875" style="15" customWidth="1"/>
    <col min="12032" max="12032" width="3.6640625" style="15" customWidth="1"/>
    <col min="12033" max="12284" width="9.109375" style="15"/>
    <col min="12285" max="12285" width="8.33203125" style="15" customWidth="1"/>
    <col min="12286" max="12286" width="65.6640625" style="15" customWidth="1"/>
    <col min="12287" max="12287" width="15.88671875" style="15" customWidth="1"/>
    <col min="12288" max="12288" width="3.6640625" style="15" customWidth="1"/>
    <col min="12289" max="12540" width="9.109375" style="15"/>
    <col min="12541" max="12541" width="8.33203125" style="15" customWidth="1"/>
    <col min="12542" max="12542" width="65.6640625" style="15" customWidth="1"/>
    <col min="12543" max="12543" width="15.88671875" style="15" customWidth="1"/>
    <col min="12544" max="12544" width="3.6640625" style="15" customWidth="1"/>
    <col min="12545" max="12796" width="9.109375" style="15"/>
    <col min="12797" max="12797" width="8.33203125" style="15" customWidth="1"/>
    <col min="12798" max="12798" width="65.6640625" style="15" customWidth="1"/>
    <col min="12799" max="12799" width="15.88671875" style="15" customWidth="1"/>
    <col min="12800" max="12800" width="3.6640625" style="15" customWidth="1"/>
    <col min="12801" max="13052" width="9.109375" style="15"/>
    <col min="13053" max="13053" width="8.33203125" style="15" customWidth="1"/>
    <col min="13054" max="13054" width="65.6640625" style="15" customWidth="1"/>
    <col min="13055" max="13055" width="15.88671875" style="15" customWidth="1"/>
    <col min="13056" max="13056" width="3.6640625" style="15" customWidth="1"/>
    <col min="13057" max="13308" width="9.109375" style="15"/>
    <col min="13309" max="13309" width="8.33203125" style="15" customWidth="1"/>
    <col min="13310" max="13310" width="65.6640625" style="15" customWidth="1"/>
    <col min="13311" max="13311" width="15.88671875" style="15" customWidth="1"/>
    <col min="13312" max="13312" width="3.6640625" style="15" customWidth="1"/>
    <col min="13313" max="13564" width="9.109375" style="15"/>
    <col min="13565" max="13565" width="8.33203125" style="15" customWidth="1"/>
    <col min="13566" max="13566" width="65.6640625" style="15" customWidth="1"/>
    <col min="13567" max="13567" width="15.88671875" style="15" customWidth="1"/>
    <col min="13568" max="13568" width="3.6640625" style="15" customWidth="1"/>
    <col min="13569" max="13820" width="9.109375" style="15"/>
    <col min="13821" max="13821" width="8.33203125" style="15" customWidth="1"/>
    <col min="13822" max="13822" width="65.6640625" style="15" customWidth="1"/>
    <col min="13823" max="13823" width="15.88671875" style="15" customWidth="1"/>
    <col min="13824" max="13824" width="3.6640625" style="15" customWidth="1"/>
    <col min="13825" max="14076" width="9.109375" style="15"/>
    <col min="14077" max="14077" width="8.33203125" style="15" customWidth="1"/>
    <col min="14078" max="14078" width="65.6640625" style="15" customWidth="1"/>
    <col min="14079" max="14079" width="15.88671875" style="15" customWidth="1"/>
    <col min="14080" max="14080" width="3.6640625" style="15" customWidth="1"/>
    <col min="14081" max="14332" width="9.109375" style="15"/>
    <col min="14333" max="14333" width="8.33203125" style="15" customWidth="1"/>
    <col min="14334" max="14334" width="65.6640625" style="15" customWidth="1"/>
    <col min="14335" max="14335" width="15.88671875" style="15" customWidth="1"/>
    <col min="14336" max="14336" width="3.6640625" style="15" customWidth="1"/>
    <col min="14337" max="14588" width="9.109375" style="15"/>
    <col min="14589" max="14589" width="8.33203125" style="15" customWidth="1"/>
    <col min="14590" max="14590" width="65.6640625" style="15" customWidth="1"/>
    <col min="14591" max="14591" width="15.88671875" style="15" customWidth="1"/>
    <col min="14592" max="14592" width="3.6640625" style="15" customWidth="1"/>
    <col min="14593" max="14844" width="9.109375" style="15"/>
    <col min="14845" max="14845" width="8.33203125" style="15" customWidth="1"/>
    <col min="14846" max="14846" width="65.6640625" style="15" customWidth="1"/>
    <col min="14847" max="14847" width="15.88671875" style="15" customWidth="1"/>
    <col min="14848" max="14848" width="3.6640625" style="15" customWidth="1"/>
    <col min="14849" max="15100" width="9.109375" style="15"/>
    <col min="15101" max="15101" width="8.33203125" style="15" customWidth="1"/>
    <col min="15102" max="15102" width="65.6640625" style="15" customWidth="1"/>
    <col min="15103" max="15103" width="15.88671875" style="15" customWidth="1"/>
    <col min="15104" max="15104" width="3.6640625" style="15" customWidth="1"/>
    <col min="15105" max="15356" width="9.109375" style="15"/>
    <col min="15357" max="15357" width="8.33203125" style="15" customWidth="1"/>
    <col min="15358" max="15358" width="65.6640625" style="15" customWidth="1"/>
    <col min="15359" max="15359" width="15.88671875" style="15" customWidth="1"/>
    <col min="15360" max="15360" width="3.6640625" style="15" customWidth="1"/>
    <col min="15361" max="15612" width="9.109375" style="15"/>
    <col min="15613" max="15613" width="8.33203125" style="15" customWidth="1"/>
    <col min="15614" max="15614" width="65.6640625" style="15" customWidth="1"/>
    <col min="15615" max="15615" width="15.88671875" style="15" customWidth="1"/>
    <col min="15616" max="15616" width="3.6640625" style="15" customWidth="1"/>
    <col min="15617" max="15868" width="9.109375" style="15"/>
    <col min="15869" max="15869" width="8.33203125" style="15" customWidth="1"/>
    <col min="15870" max="15870" width="65.6640625" style="15" customWidth="1"/>
    <col min="15871" max="15871" width="15.88671875" style="15" customWidth="1"/>
    <col min="15872" max="15872" width="3.6640625" style="15" customWidth="1"/>
    <col min="15873" max="16124" width="9.109375" style="15"/>
    <col min="16125" max="16125" width="8.33203125" style="15" customWidth="1"/>
    <col min="16126" max="16126" width="65.6640625" style="15" customWidth="1"/>
    <col min="16127" max="16127" width="15.88671875" style="15" customWidth="1"/>
    <col min="16128" max="16128" width="3.6640625" style="15" customWidth="1"/>
    <col min="16129" max="16384" width="9.109375" style="15"/>
  </cols>
  <sheetData>
    <row r="1" spans="1:4" s="8" customFormat="1" ht="15.6" x14ac:dyDescent="0.3">
      <c r="A1" s="7"/>
      <c r="B1" s="116" t="s">
        <v>207</v>
      </c>
      <c r="C1" s="116"/>
    </row>
    <row r="2" spans="1:4" s="8" customFormat="1" ht="15.6" x14ac:dyDescent="0.3">
      <c r="A2" s="7"/>
      <c r="B2" s="116" t="s">
        <v>484</v>
      </c>
      <c r="C2" s="116"/>
    </row>
    <row r="3" spans="1:4" s="8" customFormat="1" ht="15.6" x14ac:dyDescent="0.3">
      <c r="A3" s="7"/>
      <c r="B3" s="16" t="s">
        <v>580</v>
      </c>
      <c r="C3" s="16"/>
    </row>
    <row r="4" spans="1:4" s="8" customFormat="1" ht="15.6" x14ac:dyDescent="0.3">
      <c r="A4" s="7"/>
      <c r="B4" s="16" t="s">
        <v>550</v>
      </c>
      <c r="C4" s="16"/>
    </row>
    <row r="5" spans="1:4" s="8" customFormat="1" ht="15.6" x14ac:dyDescent="0.3">
      <c r="A5" s="7"/>
      <c r="B5" s="16" t="s">
        <v>549</v>
      </c>
      <c r="C5" s="17"/>
    </row>
    <row r="6" spans="1:4" ht="15.6" x14ac:dyDescent="0.3">
      <c r="A6" s="97"/>
      <c r="B6" s="17"/>
      <c r="C6" s="17"/>
      <c r="D6" s="2"/>
    </row>
    <row r="7" spans="1:4" ht="15.6" x14ac:dyDescent="0.3">
      <c r="A7" s="117" t="s">
        <v>518</v>
      </c>
      <c r="B7" s="117"/>
      <c r="C7" s="117"/>
    </row>
    <row r="8" spans="1:4" ht="15.6" x14ac:dyDescent="0.3">
      <c r="A8" s="117" t="s">
        <v>519</v>
      </c>
      <c r="B8" s="117"/>
      <c r="C8" s="117"/>
    </row>
    <row r="9" spans="1:4" ht="13.8" x14ac:dyDescent="0.25">
      <c r="A9" s="97"/>
    </row>
    <row r="10" spans="1:4" ht="13.8" x14ac:dyDescent="0.25">
      <c r="A10" s="97"/>
    </row>
    <row r="11" spans="1:4" ht="15" customHeight="1" x14ac:dyDescent="0.25">
      <c r="A11" s="131" t="s">
        <v>35</v>
      </c>
      <c r="B11" s="131" t="s">
        <v>520</v>
      </c>
      <c r="C11" s="131" t="s">
        <v>521</v>
      </c>
    </row>
    <row r="12" spans="1:4" ht="18.75" customHeight="1" x14ac:dyDescent="0.25">
      <c r="A12" s="132"/>
      <c r="B12" s="132"/>
      <c r="C12" s="132"/>
    </row>
    <row r="13" spans="1:4" ht="15.6" x14ac:dyDescent="0.25">
      <c r="A13" s="98" t="s">
        <v>48</v>
      </c>
      <c r="B13" s="99" t="s">
        <v>522</v>
      </c>
      <c r="C13" s="100">
        <v>243700</v>
      </c>
    </row>
    <row r="14" spans="1:4" ht="15.6" x14ac:dyDescent="0.25">
      <c r="A14" s="98" t="s">
        <v>47</v>
      </c>
      <c r="B14" s="99" t="s">
        <v>523</v>
      </c>
      <c r="C14" s="100">
        <v>259000</v>
      </c>
    </row>
    <row r="15" spans="1:4" ht="15.6" x14ac:dyDescent="0.25">
      <c r="A15" s="98" t="s">
        <v>49</v>
      </c>
      <c r="B15" s="99" t="s">
        <v>524</v>
      </c>
      <c r="C15" s="101">
        <f>38900-600</f>
        <v>38300</v>
      </c>
    </row>
    <row r="16" spans="1:4" ht="15.6" x14ac:dyDescent="0.25">
      <c r="A16" s="98" t="s">
        <v>50</v>
      </c>
      <c r="B16" s="99" t="s">
        <v>525</v>
      </c>
      <c r="C16" s="115">
        <f>824200+25500</f>
        <v>849700</v>
      </c>
    </row>
    <row r="17" spans="1:3" ht="15.6" x14ac:dyDescent="0.25">
      <c r="A17" s="98" t="s">
        <v>51</v>
      </c>
      <c r="B17" s="102" t="s">
        <v>526</v>
      </c>
      <c r="C17" s="101">
        <v>4100</v>
      </c>
    </row>
    <row r="18" spans="1:3" ht="15.6" x14ac:dyDescent="0.25">
      <c r="A18" s="98" t="s">
        <v>52</v>
      </c>
      <c r="B18" s="99" t="s">
        <v>527</v>
      </c>
      <c r="C18" s="101">
        <v>25200</v>
      </c>
    </row>
    <row r="19" spans="1:3" ht="31.2" x14ac:dyDescent="0.25">
      <c r="A19" s="98" t="s">
        <v>53</v>
      </c>
      <c r="B19" s="99" t="s">
        <v>528</v>
      </c>
      <c r="C19" s="100">
        <v>600</v>
      </c>
    </row>
    <row r="20" spans="1:3" ht="31.2" x14ac:dyDescent="0.25">
      <c r="A20" s="98" t="s">
        <v>54</v>
      </c>
      <c r="B20" s="99" t="s">
        <v>529</v>
      </c>
      <c r="C20" s="100">
        <v>500</v>
      </c>
    </row>
    <row r="21" spans="1:3" ht="31.2" x14ac:dyDescent="0.25">
      <c r="A21" s="98" t="s">
        <v>55</v>
      </c>
      <c r="B21" s="99" t="s">
        <v>530</v>
      </c>
      <c r="C21" s="101">
        <v>2700</v>
      </c>
    </row>
    <row r="22" spans="1:3" ht="15.6" x14ac:dyDescent="0.25">
      <c r="A22" s="98" t="s">
        <v>56</v>
      </c>
      <c r="B22" s="99" t="s">
        <v>531</v>
      </c>
      <c r="C22" s="101">
        <v>9000</v>
      </c>
    </row>
    <row r="23" spans="1:3" ht="15.6" x14ac:dyDescent="0.25">
      <c r="A23" s="98" t="s">
        <v>57</v>
      </c>
      <c r="B23" s="99" t="s">
        <v>532</v>
      </c>
      <c r="C23" s="100">
        <v>25700</v>
      </c>
    </row>
    <row r="24" spans="1:3" ht="31.2" x14ac:dyDescent="0.25">
      <c r="A24" s="98" t="s">
        <v>58</v>
      </c>
      <c r="B24" s="99" t="s">
        <v>533</v>
      </c>
      <c r="C24" s="101">
        <f>16500-4600</f>
        <v>11900</v>
      </c>
    </row>
    <row r="25" spans="1:3" ht="15.6" x14ac:dyDescent="0.25">
      <c r="A25" s="98" t="s">
        <v>534</v>
      </c>
      <c r="B25" s="99" t="s">
        <v>535</v>
      </c>
      <c r="C25" s="100">
        <f>219700-4400-19200</f>
        <v>196100</v>
      </c>
    </row>
    <row r="26" spans="1:3" ht="15.6" x14ac:dyDescent="0.25">
      <c r="A26" s="98" t="s">
        <v>59</v>
      </c>
      <c r="B26" s="99" t="s">
        <v>536</v>
      </c>
      <c r="C26" s="100">
        <v>499300</v>
      </c>
    </row>
    <row r="27" spans="1:3" ht="15.6" x14ac:dyDescent="0.25">
      <c r="A27" s="98" t="s">
        <v>89</v>
      </c>
      <c r="B27" s="99" t="s">
        <v>537</v>
      </c>
      <c r="C27" s="100">
        <f>1389800+103500+143000-39000</f>
        <v>1597300</v>
      </c>
    </row>
    <row r="28" spans="1:3" ht="15.6" x14ac:dyDescent="0.25">
      <c r="A28" s="98" t="s">
        <v>90</v>
      </c>
      <c r="B28" s="99" t="s">
        <v>538</v>
      </c>
      <c r="C28" s="114">
        <f>19300+2000</f>
        <v>21300</v>
      </c>
    </row>
    <row r="29" spans="1:3" ht="15.6" x14ac:dyDescent="0.25">
      <c r="A29" s="98" t="s">
        <v>91</v>
      </c>
      <c r="B29" s="103" t="s">
        <v>539</v>
      </c>
      <c r="C29" s="104">
        <v>157500</v>
      </c>
    </row>
    <row r="30" spans="1:3" ht="15.6" x14ac:dyDescent="0.25">
      <c r="A30" s="98" t="s">
        <v>92</v>
      </c>
      <c r="B30" s="99" t="s">
        <v>540</v>
      </c>
      <c r="C30" s="100">
        <f>0+1700</f>
        <v>1700</v>
      </c>
    </row>
    <row r="31" spans="1:3" ht="15.6" x14ac:dyDescent="0.25">
      <c r="A31" s="98" t="s">
        <v>93</v>
      </c>
      <c r="B31" s="99" t="s">
        <v>541</v>
      </c>
      <c r="C31" s="100">
        <v>2000</v>
      </c>
    </row>
    <row r="32" spans="1:3" ht="15.6" x14ac:dyDescent="0.25">
      <c r="A32" s="98" t="s">
        <v>123</v>
      </c>
      <c r="B32" s="99" t="s">
        <v>542</v>
      </c>
      <c r="C32" s="100">
        <v>8176</v>
      </c>
    </row>
    <row r="33" spans="1:3" ht="31.2" x14ac:dyDescent="0.25">
      <c r="A33" s="98" t="s">
        <v>124</v>
      </c>
      <c r="B33" s="99" t="s">
        <v>543</v>
      </c>
      <c r="C33" s="100">
        <v>43896</v>
      </c>
    </row>
    <row r="34" spans="1:3" ht="46.8" x14ac:dyDescent="0.25">
      <c r="A34" s="98" t="s">
        <v>125</v>
      </c>
      <c r="B34" s="105" t="s">
        <v>544</v>
      </c>
      <c r="C34" s="100">
        <f>72160+146960</f>
        <v>219120</v>
      </c>
    </row>
    <row r="35" spans="1:3" ht="31.2" x14ac:dyDescent="0.25">
      <c r="A35" s="98" t="s">
        <v>126</v>
      </c>
      <c r="B35" s="99" t="s">
        <v>545</v>
      </c>
      <c r="C35" s="100">
        <v>70130</v>
      </c>
    </row>
    <row r="36" spans="1:3" ht="31.2" x14ac:dyDescent="0.25">
      <c r="A36" s="98" t="s">
        <v>127</v>
      </c>
      <c r="B36" s="99" t="s">
        <v>546</v>
      </c>
      <c r="C36" s="100">
        <v>31082</v>
      </c>
    </row>
    <row r="37" spans="1:3" s="7" customFormat="1" ht="15.6" x14ac:dyDescent="0.25">
      <c r="A37" s="106"/>
      <c r="B37" s="107" t="s">
        <v>547</v>
      </c>
      <c r="C37" s="108">
        <f>SUM(C13:C36)</f>
        <v>4318004</v>
      </c>
    </row>
    <row r="38" spans="1:3" s="2" customFormat="1" ht="15.6" x14ac:dyDescent="0.3">
      <c r="A38" s="16"/>
    </row>
    <row r="39" spans="1:3" s="2" customFormat="1" ht="15.6" x14ac:dyDescent="0.3">
      <c r="A39" s="16"/>
      <c r="B39" s="16" t="s">
        <v>548</v>
      </c>
    </row>
    <row r="40" spans="1:3" s="2" customFormat="1" ht="15.6" x14ac:dyDescent="0.3">
      <c r="A40" s="16"/>
    </row>
    <row r="41" spans="1:3" s="2" customFormat="1" ht="15.6" x14ac:dyDescent="0.3">
      <c r="A41" s="16"/>
    </row>
    <row r="42" spans="1:3" s="2" customFormat="1" ht="15.6" x14ac:dyDescent="0.3">
      <c r="A42" s="16"/>
    </row>
    <row r="43" spans="1:3" s="110" customFormat="1" ht="15.6" x14ac:dyDescent="0.3">
      <c r="A43" s="109"/>
      <c r="B43" s="2"/>
    </row>
    <row r="44" spans="1:3" s="110" customFormat="1" ht="15" x14ac:dyDescent="0.25">
      <c r="A44" s="109"/>
    </row>
    <row r="45" spans="1:3" s="110" customFormat="1" ht="15" x14ac:dyDescent="0.25">
      <c r="A45" s="109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2024-11-28T13:11:54Z</cp:lastPrinted>
  <dcterms:created xsi:type="dcterms:W3CDTF">2001-01-28T19:21:19Z</dcterms:created>
  <dcterms:modified xsi:type="dcterms:W3CDTF">2024-11-28T13:12:53Z</dcterms:modified>
</cp:coreProperties>
</file>