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spalis2024/"/>
    </mc:Choice>
  </mc:AlternateContent>
  <xr:revisionPtr revIDLastSave="12" documentId="8_{0DE17C3E-7BDA-48E8-8176-F722DE475FC1}" xr6:coauthVersionLast="47" xr6:coauthVersionMax="47" xr10:uidLastSave="{CF5E5DAB-E4B6-4258-82A0-628F97FC8094}"/>
  <bookViews>
    <workbookView xWindow="-108" yWindow="-108" windowWidth="23256" windowHeight="12576" tabRatio="758" activeTab="1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F18" i="19" l="1"/>
  <c r="F207" i="19"/>
  <c r="C22" i="18"/>
  <c r="C19" i="18"/>
  <c r="C12" i="18"/>
  <c r="C25" i="20"/>
  <c r="C32" i="15"/>
  <c r="C21" i="18" l="1"/>
  <c r="C11" i="15"/>
  <c r="C17" i="19"/>
  <c r="F214" i="19"/>
  <c r="C129" i="19"/>
  <c r="C17" i="18"/>
  <c r="C27" i="20"/>
  <c r="C24" i="19" l="1"/>
  <c r="C28" i="19"/>
  <c r="C25" i="19"/>
  <c r="C22" i="19"/>
  <c r="C21" i="19"/>
  <c r="C180" i="19"/>
  <c r="C18" i="18"/>
  <c r="C116" i="19"/>
  <c r="C114" i="19"/>
  <c r="C117" i="19"/>
  <c r="C246" i="19"/>
  <c r="C115" i="19"/>
  <c r="C128" i="19"/>
  <c r="C97" i="19"/>
  <c r="C16" i="18"/>
  <c r="C34" i="19"/>
  <c r="C81" i="19"/>
  <c r="C80" i="19"/>
  <c r="C76" i="19"/>
  <c r="C183" i="19"/>
  <c r="C186" i="19"/>
  <c r="C18" i="15"/>
  <c r="C17" i="15"/>
  <c r="C22" i="15"/>
  <c r="C19" i="15"/>
  <c r="C13" i="15"/>
  <c r="C14" i="15"/>
  <c r="I180" i="19" l="1"/>
  <c r="I179" i="19"/>
  <c r="I172" i="19"/>
  <c r="I175" i="19"/>
  <c r="I166" i="19"/>
  <c r="I160" i="19"/>
  <c r="I153" i="19"/>
  <c r="I152" i="19"/>
  <c r="I146" i="19"/>
  <c r="I145" i="19"/>
  <c r="I190" i="19"/>
  <c r="C24" i="18"/>
  <c r="C33" i="15"/>
  <c r="C26" i="18"/>
  <c r="C36" i="15"/>
  <c r="F178" i="19"/>
  <c r="F153" i="19"/>
  <c r="F146" i="19"/>
  <c r="F179" i="19"/>
  <c r="L116" i="19" l="1"/>
  <c r="C27" i="18"/>
  <c r="C28" i="15"/>
  <c r="C27" i="15"/>
  <c r="F105" i="19"/>
  <c r="C48" i="15"/>
  <c r="O245" i="19"/>
  <c r="C30" i="20" l="1"/>
  <c r="L247" i="19"/>
  <c r="C247" i="19"/>
  <c r="C224" i="19"/>
  <c r="C29" i="15"/>
  <c r="C20" i="15" s="1"/>
  <c r="C25" i="18" l="1"/>
  <c r="C38" i="15"/>
  <c r="F192" i="19"/>
  <c r="L166" i="19" l="1"/>
  <c r="L160" i="19"/>
  <c r="L153" i="19"/>
  <c r="L152" i="19"/>
  <c r="L146" i="19"/>
  <c r="L145" i="19"/>
  <c r="F221" i="19"/>
  <c r="F215" i="19"/>
  <c r="F19" i="19"/>
  <c r="C37" i="15"/>
  <c r="C44" i="15"/>
  <c r="F212" i="19" l="1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L164" i="19"/>
  <c r="C165" i="19"/>
  <c r="C164" i="19"/>
  <c r="I165" i="19"/>
  <c r="I164" i="19"/>
  <c r="L170" i="19"/>
  <c r="C171" i="19"/>
  <c r="C170" i="19"/>
  <c r="I171" i="19"/>
  <c r="I170" i="19"/>
  <c r="I149" i="19" l="1"/>
  <c r="G203" i="19"/>
  <c r="H203" i="19"/>
  <c r="I203" i="19"/>
  <c r="I202" i="19" s="1"/>
  <c r="J203" i="19"/>
  <c r="J202" i="19" s="1"/>
  <c r="K203" i="19"/>
  <c r="L203" i="19"/>
  <c r="L202" i="19" s="1"/>
  <c r="D203" i="19"/>
  <c r="E203" i="19"/>
  <c r="E202" i="19" s="1"/>
  <c r="C110" i="19"/>
  <c r="F174" i="19"/>
  <c r="C174" i="19"/>
  <c r="F176" i="19"/>
  <c r="F175" i="19" s="1"/>
  <c r="C176" i="19"/>
  <c r="O153" i="19"/>
  <c r="F152" i="19"/>
  <c r="C152" i="19"/>
  <c r="L91" i="19"/>
  <c r="L94" i="19"/>
  <c r="O94" i="19" s="1"/>
  <c r="C211" i="19"/>
  <c r="C238" i="19"/>
  <c r="O238" i="19" s="1"/>
  <c r="C239" i="19"/>
  <c r="C233" i="19"/>
  <c r="O233" i="19" s="1"/>
  <c r="C221" i="19"/>
  <c r="O221" i="19" s="1"/>
  <c r="C230" i="19"/>
  <c r="O230" i="19" s="1"/>
  <c r="C223" i="19"/>
  <c r="C232" i="19"/>
  <c r="O232" i="19" s="1"/>
  <c r="C182" i="19"/>
  <c r="C181" i="19" s="1"/>
  <c r="C101" i="19"/>
  <c r="C96" i="19" s="1"/>
  <c r="C69" i="19"/>
  <c r="O69" i="19" s="1"/>
  <c r="C66" i="19"/>
  <c r="C62" i="19"/>
  <c r="O62" i="19" s="1"/>
  <c r="C67" i="19"/>
  <c r="O67" i="19" s="1"/>
  <c r="F193" i="19"/>
  <c r="O244" i="19"/>
  <c r="F206" i="19"/>
  <c r="F205" i="19"/>
  <c r="F204" i="19"/>
  <c r="F210" i="19"/>
  <c r="O210" i="19" s="1"/>
  <c r="F224" i="19"/>
  <c r="O224" i="19" s="1"/>
  <c r="C219" i="19"/>
  <c r="O219" i="19" s="1"/>
  <c r="F219" i="19"/>
  <c r="F218" i="19"/>
  <c r="O218" i="19" s="1"/>
  <c r="F217" i="19"/>
  <c r="O217" i="19" s="1"/>
  <c r="O243" i="19"/>
  <c r="O192" i="19"/>
  <c r="F191" i="19"/>
  <c r="O191" i="19" s="1"/>
  <c r="C24" i="20"/>
  <c r="C15" i="20"/>
  <c r="C15" i="18"/>
  <c r="C42" i="15"/>
  <c r="C40" i="15"/>
  <c r="C34" i="20"/>
  <c r="C161" i="19"/>
  <c r="C162" i="19"/>
  <c r="O162" i="19" s="1"/>
  <c r="O171" i="19"/>
  <c r="C168" i="19"/>
  <c r="O158" i="19"/>
  <c r="O165" i="19"/>
  <c r="O156" i="19"/>
  <c r="C148" i="19"/>
  <c r="O148" i="19" s="1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4" i="15"/>
  <c r="C52" i="15" s="1"/>
  <c r="C51" i="15"/>
  <c r="C46" i="15"/>
  <c r="C31" i="15" s="1"/>
  <c r="C45" i="15"/>
  <c r="C10" i="15"/>
  <c r="C29" i="18"/>
  <c r="C30" i="18" s="1"/>
  <c r="C28" i="18"/>
  <c r="C13" i="18"/>
  <c r="C251" i="19"/>
  <c r="C250" i="19"/>
  <c r="O250" i="19" s="1"/>
  <c r="F249" i="19"/>
  <c r="G247" i="19"/>
  <c r="F247" i="19"/>
  <c r="D247" i="19"/>
  <c r="G246" i="19"/>
  <c r="F246" i="19"/>
  <c r="O246" i="19" s="1"/>
  <c r="D246" i="19"/>
  <c r="O242" i="19"/>
  <c r="O241" i="19"/>
  <c r="O240" i="19"/>
  <c r="O239" i="19"/>
  <c r="O237" i="19"/>
  <c r="O236" i="19"/>
  <c r="O235" i="19"/>
  <c r="O234" i="19"/>
  <c r="O231" i="19"/>
  <c r="O229" i="19"/>
  <c r="C228" i="19"/>
  <c r="O227" i="19"/>
  <c r="O226" i="19"/>
  <c r="O225" i="19"/>
  <c r="O223" i="19"/>
  <c r="O222" i="19"/>
  <c r="F220" i="19"/>
  <c r="O220" i="19" s="1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H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H175" i="19"/>
  <c r="E175" i="19"/>
  <c r="G173" i="19"/>
  <c r="G172" i="19" s="1"/>
  <c r="F173" i="19"/>
  <c r="F172" i="19" s="1"/>
  <c r="D173" i="19"/>
  <c r="D172" i="19" s="1"/>
  <c r="N172" i="19"/>
  <c r="M172" i="19"/>
  <c r="L172" i="19"/>
  <c r="K172" i="19"/>
  <c r="J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 s="1"/>
  <c r="D167" i="19"/>
  <c r="D166" i="19" s="1"/>
  <c r="C167" i="19"/>
  <c r="N166" i="19"/>
  <c r="M166" i="19"/>
  <c r="K166" i="19"/>
  <c r="J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D160" i="19" s="1"/>
  <c r="N160" i="19"/>
  <c r="M160" i="19"/>
  <c r="K160" i="19"/>
  <c r="J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D151" i="19"/>
  <c r="D149" i="19" s="1"/>
  <c r="G150" i="19"/>
  <c r="G149" i="19" s="1"/>
  <c r="F150" i="19"/>
  <c r="F149" i="19" s="1"/>
  <c r="N149" i="19"/>
  <c r="M149" i="19"/>
  <c r="K149" i="19"/>
  <c r="J149" i="19"/>
  <c r="H149" i="19"/>
  <c r="E149" i="19"/>
  <c r="D148" i="19"/>
  <c r="D146" i="19" s="1"/>
  <c r="G147" i="19"/>
  <c r="G146" i="19" s="1"/>
  <c r="C147" i="19"/>
  <c r="N146" i="19"/>
  <c r="M146" i="19"/>
  <c r="K146" i="19"/>
  <c r="J146" i="19"/>
  <c r="H146" i="19"/>
  <c r="E146" i="19"/>
  <c r="C142" i="19"/>
  <c r="O142" i="19" s="1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4" i="19"/>
  <c r="O123" i="19"/>
  <c r="L122" i="19"/>
  <c r="N121" i="19"/>
  <c r="M121" i="19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D116" i="19"/>
  <c r="L115" i="19"/>
  <c r="D115" i="19"/>
  <c r="D114" i="19"/>
  <c r="O111" i="19"/>
  <c r="G111" i="19"/>
  <c r="G109" i="19" s="1"/>
  <c r="O110" i="19"/>
  <c r="N109" i="19"/>
  <c r="M109" i="19"/>
  <c r="L109" i="19"/>
  <c r="K109" i="19"/>
  <c r="J109" i="19"/>
  <c r="I109" i="19"/>
  <c r="H109" i="19"/>
  <c r="F109" i="19"/>
  <c r="E109" i="19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 s="1"/>
  <c r="L93" i="19"/>
  <c r="O93" i="19" s="1"/>
  <c r="L92" i="19"/>
  <c r="O92" i="19" s="1"/>
  <c r="F91" i="19"/>
  <c r="O90" i="19"/>
  <c r="N89" i="19"/>
  <c r="M89" i="19"/>
  <c r="K89" i="19"/>
  <c r="I89" i="19"/>
  <c r="H89" i="19"/>
  <c r="G89" i="19"/>
  <c r="F89" i="19"/>
  <c r="E89" i="19"/>
  <c r="E88" i="19" s="1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J48" i="19"/>
  <c r="C154" i="19"/>
  <c r="O170" i="19"/>
  <c r="C166" i="19"/>
  <c r="O228" i="19"/>
  <c r="C20" i="18" l="1"/>
  <c r="C203" i="19"/>
  <c r="C202" i="19" s="1"/>
  <c r="O167" i="19"/>
  <c r="K88" i="19"/>
  <c r="H113" i="19"/>
  <c r="O147" i="19"/>
  <c r="C146" i="19"/>
  <c r="O174" i="19"/>
  <c r="M12" i="19"/>
  <c r="O125" i="19"/>
  <c r="G202" i="19"/>
  <c r="O204" i="19"/>
  <c r="F203" i="19"/>
  <c r="C48" i="19"/>
  <c r="O152" i="19"/>
  <c r="O203" i="19"/>
  <c r="O101" i="19"/>
  <c r="M113" i="19"/>
  <c r="F113" i="19"/>
  <c r="J113" i="19"/>
  <c r="C138" i="19"/>
  <c r="G14" i="19"/>
  <c r="G12" i="19" s="1"/>
  <c r="C194" i="19"/>
  <c r="O109" i="19"/>
  <c r="I113" i="19"/>
  <c r="M144" i="19"/>
  <c r="O169" i="19"/>
  <c r="O42" i="19"/>
  <c r="D48" i="19"/>
  <c r="H48" i="19"/>
  <c r="L48" i="19"/>
  <c r="C88" i="19"/>
  <c r="G88" i="19"/>
  <c r="O166" i="19"/>
  <c r="F202" i="19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O172" i="19"/>
  <c r="N12" i="19"/>
  <c r="K113" i="19"/>
  <c r="O247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9" i="19"/>
  <c r="O249" i="19" s="1"/>
  <c r="O251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7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57" i="19"/>
  <c r="O157" i="19" s="1"/>
  <c r="O202" i="19" l="1"/>
  <c r="R202" i="19" s="1"/>
  <c r="O48" i="19"/>
  <c r="R48" i="19" s="1"/>
  <c r="G248" i="19"/>
  <c r="H248" i="19"/>
  <c r="J248" i="19"/>
  <c r="K248" i="19"/>
  <c r="F144" i="19"/>
  <c r="F248" i="19" s="1"/>
  <c r="N248" i="19"/>
  <c r="M248" i="19"/>
  <c r="E248" i="19"/>
  <c r="D248" i="19"/>
  <c r="O146" i="19"/>
  <c r="C144" i="19"/>
  <c r="C56" i="19"/>
  <c r="O56" i="19" s="1"/>
  <c r="R56" i="19" s="1"/>
  <c r="O57" i="19"/>
  <c r="O14" i="19"/>
  <c r="C12" i="19"/>
  <c r="L113" i="19"/>
  <c r="O113" i="19" s="1"/>
  <c r="O121" i="19"/>
  <c r="L88" i="19"/>
  <c r="O88" i="19" s="1"/>
  <c r="R88" i="19" s="1"/>
  <c r="O89" i="19"/>
  <c r="I248" i="19"/>
  <c r="R113" i="19" l="1"/>
  <c r="O144" i="19"/>
  <c r="R144" i="19" s="1"/>
  <c r="O12" i="19"/>
  <c r="C248" i="19"/>
  <c r="L248" i="19"/>
  <c r="O248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<sst xmlns="http://schemas.openxmlformats.org/spreadsheetml/2006/main" count="702" uniqueCount="595">
  <si>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</si>
  <si>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</si>
  <si>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</si>
  <si>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</si>
  <si>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</si>
  <si>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</si>
  <si>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</si>
  <si>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</si>
  <si>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</si>
  <si>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</si>
  <si>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</si>
  <si>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</si>
  <si>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</si>
  <si>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</si>
  <si>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</si>
  <si>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</si>
  <si>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</si>
  <si>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</si>
  <si>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</si>
  <si>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</si>
  <si>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</si>
  <si>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</si>
  <si>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</si>
  <si>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</si>
  <si>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</si>
  <si>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</si>
  <si>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</si>
  <si>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</si>
  <si>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</si>
  <si>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</si>
  <si>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</si>
  <si>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</si>
  <si>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</si>
  <si>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</si>
  <si>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</si>
  <si>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</si>
  <si>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</si>
  <si>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</si>
  <si>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</si>
  <si>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</si>
  <si>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</si>
  <si>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</si>
  <si>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</si>
  <si>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</si>
  <si>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</si>
  <si>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</si>
  <si>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</si>
  <si>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</si>
  <si>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</si>
  <si>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</si>
  <si>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</si>
  <si>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</si>
  <si>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</si>
  <si>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</si>
  <si>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</si>
  <si>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</si>
  <si>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</si>
  <si>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</si>
  <si>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</si>
  <si>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</si>
  <si>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</si>
  <si>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</si>
  <si>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</si>
  <si>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</si>
  <si>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</si>
  <si>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</si>
  <si>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</si>
  <si>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</si>
  <si>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</si>
  <si>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</si>
  <si>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</si>
  <si>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</si>
  <si>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</si>
  <si>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</si>
  <si>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</si>
  <si>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</si>
  <si>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</si>
  <si>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</si>
  <si>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</si>
  <si>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</si>
  <si>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</si>
  <si>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</si>
  <si>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</si>
  <si>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</si>
  <si>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</si>
  <si>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</si>
  <si>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</si>
  <si>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</si>
  <si>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</si>
  <si>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</si>
  <si>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</si>
  <si>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</si>
  <si>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</si>
  <si>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</si>
  <si>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</si>
  <si>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</si>
  <si>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</si>
  <si>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</si>
  <si>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</si>
  <si>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</si>
  <si>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</si>
  <si>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</si>
  <si>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</si>
  <si>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</si>
  <si>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</si>
  <si>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</si>
  <si>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</si>
  <si>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</si>
  <si>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</si>
  <si>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</si>
  <si>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</si>
  <si>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</si>
  <si>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</si>
  <si>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</si>
  <si>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</si>
  <si>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</si>
  <si>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</si>
  <si>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</si>
  <si>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</si>
  <si>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</si>
  <si>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</si>
  <si>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</si>
  <si>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</si>
  <si>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</si>
  <si>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</si>
  <si>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</si>
  <si>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</si>
  <si>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</si>
  <si>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</si>
  <si>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</si>
  <si>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</si>
  <si>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</si>
  <si>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</si>
  <si>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</si>
  <si>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</si>
  <si>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</si>
  <si>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</si>
  <si>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</si>
  <si>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</si>
  <si>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</si>
  <si>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</si>
  <si>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</si>
  <si>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</si>
  <si>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</si>
  <si>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</si>
  <si>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</si>
  <si>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</si>
  <si>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</si>
  <si>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</si>
  <si>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</si>
  <si>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</si>
  <si>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</si>
  <si>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</si>
  <si>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</si>
  <si>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</si>
  <si>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</si>
  <si>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</si>
  <si>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</si>
  <si>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</si>
  <si>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</si>
  <si>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</si>
  <si>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</si>
  <si>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</si>
  <si>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</si>
  <si>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</si>
  <si>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</si>
  <si>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</si>
  <si>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</si>
  <si>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</si>
  <si>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</si>
  <si>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</si>
  <si>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</si>
  <si>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</si>
  <si>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</si>
  <si>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</si>
  <si>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</si>
  <si>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</si>
  <si>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</si>
  <si>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</si>
  <si>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</si>
  <si>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</si>
  <si>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</si>
  <si>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</si>
  <si>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</si>
  <si>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</si>
  <si>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</si>
  <si>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</si>
  <si>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</si>
  <si>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</si>
  <si>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</si>
  <si>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</si>
  <si>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</si>
  <si>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</si>
  <si>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</si>
  <si>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</si>
  <si>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</si>
  <si>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</si>
  <si>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</si>
  <si>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</si>
  <si>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</si>
  <si>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</si>
  <si>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</si>
  <si>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</si>
  <si>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</si>
  <si>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</si>
  <si>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</si>
  <si>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</si>
  <si>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</si>
  <si>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</si>
  <si>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</si>
  <si>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</si>
  <si>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</si>
  <si>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</si>
  <si>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</si>
  <si>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</si>
  <si>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</si>
  <si>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</si>
  <si>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</si>
  <si>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</si>
  <si>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</si>
  <si>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</si>
  <si>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</si>
  <si>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</si>
  <si>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</si>
  <si>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</si>
  <si>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</si>
  <si>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</si>
  <si>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</si>
  <si>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</si>
  <si>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</si>
  <si>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</si>
  <si>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</si>
  <si>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</si>
  <si>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</si>
  <si>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</si>
  <si>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</si>
  <si>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</si>
  <si>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</si>
  <si>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</si>
  <si>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</si>
  <si>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</si>
  <si>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</si>
  <si>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</si>
  <si>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</si>
  <si>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</si>
  <si>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</si>
  <si>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</si>
  <si>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</si>
  <si>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</si>
  <si>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</si>
  <si>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</si>
  <si>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</si>
  <si>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</si>
  <si>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</si>
  <si>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</si>
  <si>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</si>
  <si>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</si>
  <si>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</si>
  <si>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</si>
  <si>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</si>
  <si>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</si>
  <si>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</si>
  <si>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</si>
  <si>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</si>
  <si>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</si>
  <si>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</si>
  <si>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</si>
  <si>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</si>
  <si>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</si>
  <si>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</si>
  <si>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</si>
  <si>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</si>
  <si>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</si>
  <si>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</si>
  <si>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</si>
  <si>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</si>
  <si>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</si>
  <si>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</si>
  <si>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</si>
  <si>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</si>
  <si>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</si>
  <si>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</si>
  <si>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</si>
  <si>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</si>
  <si>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</si>
  <si>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</si>
  <si>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</si>
  <si>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</si>
  <si>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</si>
  <si>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</si>
  <si>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</si>
  <si>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</si>
  <si>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</si>
  <si>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</si>
  <si>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</si>
  <si>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</si>
  <si>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</si>
  <si>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</si>
  <si>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</si>
  <si>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</si>
  <si>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</si>
  <si>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</si>
  <si>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</si>
  <si>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</si>
  <si>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</si>
  <si>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</si>
  <si>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</si>
  <si>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</si>
  <si>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</si>
  <si>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</si>
  <si>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</si>
  <si>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</si>
  <si>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</si>
  <si>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</si>
  <si>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</si>
  <si>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</si>
  <si>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</si>
  <si>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</si>
  <si>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</si>
  <si>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</si>
  <si>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</si>
  <si>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</si>
  <si>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</si>
  <si>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</si>
  <si>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</si>
  <si>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</si>
  <si>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</si>
  <si>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</si>
  <si>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</si>
  <si>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</si>
  <si>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</si>
  <si>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</si>
  <si>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</si>
  <si>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</si>
  <si>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</si>
  <si>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</si>
  <si>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</si>
  <si>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</si>
  <si>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</si>
  <si>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</si>
  <si>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</si>
  <si>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</si>
  <si>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</si>
  <si>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</si>
  <si>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</si>
  <si>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</si>
  <si>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</si>
  <si>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</si>
  <si>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</si>
  <si>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</si>
  <si>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</si>
  <si>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</si>
  <si>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</si>
  <si>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</si>
  <si>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</si>
  <si>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</si>
  <si>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</si>
  <si>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</si>
  <si>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</si>
  <si>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</si>
  <si>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</si>
  <si>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</si>
  <si>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</si>
  <si>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</si>
  <si>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</si>
  <si>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</si>
  <si>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</si>
  <si>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</si>
  <si>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</si>
  <si>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</si>
  <si>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</si>
  <si>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</si>
  <si>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</si>
  <si>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</si>
  <si>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</si>
  <si>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</si>
  <si>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</si>
  <si>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</si>
  <si>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</si>
  <si>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</si>
  <si>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</si>
  <si>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</si>
  <si>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</si>
  <si>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</si>
  <si>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</si>
  <si>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</si>
  <si>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</si>
  <si>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</si>
  <si>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</si>
  <si>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</si>
  <si>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</si>
  <si>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</si>
  <si>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</si>
  <si>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</si>
  <si>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</si>
  <si>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</si>
  <si>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</si>
  <si>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</si>
  <si>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</si>
  <si>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</si>
  <si>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</si>
  <si>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</si>
  <si>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</si>
  <si>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</si>
  <si>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</si>
  <si>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</si>
  <si>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</si>
  <si>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</si>
  <si>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</si>
  <si>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</si>
  <si>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</si>
  <si>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</si>
  <si>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</si>
  <si>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</si>
  <si>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</si>
  <si>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</si>
  <si>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</si>
  <si>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</si>
  <si>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</si>
  <si>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</si>
  <si>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</si>
  <si>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</si>
  <si>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</si>
  <si>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</si>
  <si>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</si>
  <si>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</si>
  <si>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</si>
  <si>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</si>
  <si>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</si>
  <si>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</si>
  <si>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</si>
  <si>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</si>
  <si>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</si>
  <si>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</si>
  <si>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</si>
  <si>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</si>
  <si>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</si>
  <si>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</si>
  <si>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</si>
  <si>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</si>
  <si>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</si>
  <si>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</si>
  <si>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</si>
  <si>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</si>
  <si>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</si>
  <si>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</si>
  <si>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</si>
  <si>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</si>
  <si>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</si>
  <si>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</si>
  <si>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</si>
  <si>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</si>
  <si>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</si>
  <si>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</si>
  <si>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</si>
  <si>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</si>
  <si>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</si>
  <si>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</si>
  <si>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</si>
  <si>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</si>
  <si>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</si>
  <si>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</si>
  <si>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</si>
  <si>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</si>
  <si>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</si>
  <si>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</si>
  <si>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</si>
  <si>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</si>
  <si>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</si>
  <si>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</si>
  <si>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</si>
  <si>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</si>
  <si>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</si>
  <si>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</si>
  <si>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</si>
  <si>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</si>
  <si>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</si>
  <si>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</si>
  <si>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</si>
  <si>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</si>
  <si>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</si>
  <si>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</si>
  <si>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</si>
  <si>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</si>
  <si>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</si>
  <si>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</si>
  <si>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</si>
  <si>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</si>
  <si>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</si>
  <si>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</si>
  <si>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</si>
  <si>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</si>
  <si>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</si>
  <si>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</si>
  <si>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</si>
  <si>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</si>
  <si>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</si>
  <si>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</si>
  <si>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</si>
  <si>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</si>
  <si>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</si>
  <si>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</si>
  <si>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</si>
  <si>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</si>
  <si>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</si>
  <si>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</si>
  <si>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</si>
  <si>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</si>
  <si>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</si>
  <si>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</si>
  <si>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</si>
  <si>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</si>
  <si>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</si>
  <si>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</si>
  <si>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</si>
  <si>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</si>
  <si>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</si>
  <si>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</si>
  <si>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</si>
  <si>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</si>
  <si>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</si>
  <si>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</si>
  <si>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</si>
  <si>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</si>
  <si>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</si>
  <si>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</si>
  <si>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</si>
  <si>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</si>
  <si>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</si>
  <si>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</si>
  <si>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</si>
  <si>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</si>
  <si>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</si>
  <si>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</si>
  <si>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</si>
  <si>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</si>
  <si>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</si>
  <si>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</si>
  <si>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</si>
  <si>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</si>
  <si>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</si>
  <si>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</si>
  <si>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</si>
  <si>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</si>
  <si>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</si>
  <si>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</si>
  <si>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</si>
  <si>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</si>
  <si>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</si>
  <si>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</si>
  <si>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</si>
  <si>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</si>
  <si>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</si>
  <si>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</si>
  <si>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</si>
  <si>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</si>
  <si>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</si>
  <si>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</si>
  <si>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</si>
  <si>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</si>
  <si>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</si>
  <si>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</si>
  <si>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</si>
  <si>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</si>
  <si>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</si>
  <si>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</si>
  <si>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</si>
  <si>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</si>
  <si>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</si>
  <si>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</si>
  <si>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</si>
  <si>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</si>
  <si>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</si>
  <si>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</si>
  <si>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</si>
  <si>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</si>
  <si>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</si>
  <si>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</si>
  <si>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</si>
  <si>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</si>
  <si>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</si>
  <si>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</si>
  <si>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 xml:space="preserve">                                        (2024 m. spalio 31 d. sprendimo Nr. T2-</t>
  </si>
  <si>
    <t>(2024 m. spalio 31 d. sprendimo Nr. T2-    redakcija)</t>
  </si>
  <si>
    <t xml:space="preserve">                                                               (2024 m. spalio 31 d. sprendimo Nr. T2-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</si>
  <si>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</si>
  <si>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</si>
  <si>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</si>
  <si>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</si>
  <si>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</si>
  <si>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</si>
  <si>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</si>
  <si>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2024 m. sausio 31 d. sprendimo Nr. T2-1</t>
  </si>
  <si>
    <t xml:space="preserve">                          Jurbarko rajono savivaldybės tarybos</t>
  </si>
  <si>
    <t xml:space="preserve">                                                      (2024 m. spalio 31 d. sprendimo Nr. T2-290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</si>
</sst>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4" fillId="0" borderId="1" xfId="0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0" fontId="23" fillId="0" borderId="1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horizontal="center"/>
    </xf>
    <xf numFmtId="0" fontId="23" fillId="0" borderId="1" xfId="0" applyFont="1" applyBorder="1" applyAlignment="1">
      <alignment horizontal="right" wrapText="1"/>
    </xf>
    <xf numFmtId="0" fontId="24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9"/>
  <sheetViews>
    <sheetView topLeftCell="A16" workbookViewId="0">
      <selection activeCell="B3" sqref="B3:C3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9" t="s">
        <v>593</v>
      </c>
      <c r="C1" s="129"/>
    </row>
    <row r="2" spans="1:3" ht="15.6" x14ac:dyDescent="0.3">
      <c r="B2" s="129" t="s">
        <v>592</v>
      </c>
      <c r="C2" s="129"/>
    </row>
    <row r="3" spans="1:3" ht="15.6" x14ac:dyDescent="0.3">
      <c r="B3" s="129" t="s">
        <v>594</v>
      </c>
      <c r="C3" s="129"/>
    </row>
    <row r="4" spans="1:3" ht="15.6" x14ac:dyDescent="0.3">
      <c r="B4" s="16"/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0" t="s">
        <v>506</v>
      </c>
      <c r="B7" s="130"/>
      <c r="C7" s="130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28281600</v>
      </c>
    </row>
    <row r="11" spans="1:3" ht="17.25" customHeight="1" x14ac:dyDescent="0.25">
      <c r="A11" s="21" t="s">
        <v>211</v>
      </c>
      <c r="B11" s="22" t="s">
        <v>212</v>
      </c>
      <c r="C11" s="23">
        <f>26144000+40000+650000+36000+12000+33227-27</f>
        <v>26915200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23">
        <f>430000+79000</f>
        <v>509000</v>
      </c>
    </row>
    <row r="14" spans="1:3" ht="17.25" customHeight="1" x14ac:dyDescent="0.25">
      <c r="A14" s="21" t="s">
        <v>217</v>
      </c>
      <c r="B14" s="22" t="s">
        <v>254</v>
      </c>
      <c r="C14" s="23">
        <f>10000+4450</f>
        <v>14450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3" ht="17.25" customHeight="1" x14ac:dyDescent="0.25">
      <c r="A17" s="21" t="s">
        <v>221</v>
      </c>
      <c r="B17" s="25" t="s">
        <v>255</v>
      </c>
      <c r="C17" s="145">
        <f>15000+13200</f>
        <v>28200</v>
      </c>
    </row>
    <row r="18" spans="1:3" ht="17.25" customHeight="1" x14ac:dyDescent="0.25">
      <c r="A18" s="21" t="s">
        <v>223</v>
      </c>
      <c r="B18" s="22" t="s">
        <v>224</v>
      </c>
      <c r="C18" s="23">
        <f>7000+2050</f>
        <v>9050</v>
      </c>
    </row>
    <row r="19" spans="1:3" ht="17.25" customHeight="1" x14ac:dyDescent="0.25">
      <c r="A19" s="21" t="s">
        <v>507</v>
      </c>
      <c r="B19" s="22" t="s">
        <v>591</v>
      </c>
      <c r="C19" s="23">
        <f>50000+2700</f>
        <v>52700</v>
      </c>
    </row>
    <row r="20" spans="1:3" ht="17.25" customHeight="1" x14ac:dyDescent="0.25">
      <c r="A20" s="18" t="s">
        <v>49</v>
      </c>
      <c r="B20" s="19" t="s">
        <v>225</v>
      </c>
      <c r="C20" s="20">
        <f>SUM(C21:C30)</f>
        <v>2280391</v>
      </c>
    </row>
    <row r="21" spans="1:3" ht="17.25" customHeight="1" x14ac:dyDescent="0.25">
      <c r="A21" s="21" t="s">
        <v>43</v>
      </c>
      <c r="B21" s="22" t="s">
        <v>226</v>
      </c>
      <c r="C21" s="23">
        <v>794976</v>
      </c>
    </row>
    <row r="22" spans="1:3" ht="17.25" customHeight="1" x14ac:dyDescent="0.3">
      <c r="A22" s="21" t="s">
        <v>44</v>
      </c>
      <c r="B22" s="22" t="s">
        <v>227</v>
      </c>
      <c r="C22" s="24">
        <f>12000+500</f>
        <v>12500</v>
      </c>
    </row>
    <row r="23" spans="1:3" ht="17.25" customHeight="1" x14ac:dyDescent="0.25">
      <c r="A23" s="21" t="s">
        <v>45</v>
      </c>
      <c r="B23" s="22" t="s">
        <v>228</v>
      </c>
      <c r="C23" s="23">
        <v>50000</v>
      </c>
    </row>
    <row r="24" spans="1:3" ht="17.25" customHeight="1" x14ac:dyDescent="0.25">
      <c r="A24" s="21" t="s">
        <v>46</v>
      </c>
      <c r="B24" s="22" t="s">
        <v>229</v>
      </c>
      <c r="C24" s="23">
        <v>55000</v>
      </c>
    </row>
    <row r="25" spans="1:3" ht="17.25" customHeight="1" x14ac:dyDescent="0.25">
      <c r="A25" s="21" t="s">
        <v>47</v>
      </c>
      <c r="B25" s="22" t="s">
        <v>230</v>
      </c>
      <c r="C25" s="23">
        <v>50000</v>
      </c>
    </row>
    <row r="26" spans="1:3" ht="17.25" customHeight="1" x14ac:dyDescent="0.25">
      <c r="A26" s="21" t="s">
        <v>48</v>
      </c>
      <c r="B26" s="22" t="s">
        <v>231</v>
      </c>
      <c r="C26" s="23">
        <v>70000</v>
      </c>
    </row>
    <row r="27" spans="1:3" ht="17.25" customHeight="1" x14ac:dyDescent="0.25">
      <c r="A27" s="21" t="s">
        <v>63</v>
      </c>
      <c r="B27" s="22" t="s">
        <v>256</v>
      </c>
      <c r="C27" s="23">
        <f>145494+13000+1000+621+2000+3000</f>
        <v>165115</v>
      </c>
    </row>
    <row r="28" spans="1:3" ht="17.25" customHeight="1" x14ac:dyDescent="0.25">
      <c r="A28" s="21" t="s">
        <v>64</v>
      </c>
      <c r="B28" s="22" t="s">
        <v>257</v>
      </c>
      <c r="C28" s="23">
        <f>133956+500+60310-3770+8000</f>
        <v>198996</v>
      </c>
    </row>
    <row r="29" spans="1:3" ht="17.25" customHeight="1" x14ac:dyDescent="0.25">
      <c r="A29" s="21" t="s">
        <v>65</v>
      </c>
      <c r="B29" s="92" t="s">
        <v>232</v>
      </c>
      <c r="C29" s="23">
        <f>911824+20460-90580</f>
        <v>841704</v>
      </c>
    </row>
    <row r="30" spans="1:3" ht="17.25" customHeight="1" x14ac:dyDescent="0.25">
      <c r="A30" s="21" t="s">
        <v>589</v>
      </c>
      <c r="B30" s="92" t="s">
        <v>590</v>
      </c>
      <c r="C30" s="23">
        <v>42100</v>
      </c>
    </row>
    <row r="31" spans="1:3" ht="17.25" customHeight="1" x14ac:dyDescent="0.25">
      <c r="A31" s="18" t="s">
        <v>51</v>
      </c>
      <c r="B31" s="19" t="s">
        <v>258</v>
      </c>
      <c r="C31" s="20">
        <f>SUM(C32:C50)</f>
        <v>19856497</v>
      </c>
    </row>
    <row r="32" spans="1:3" ht="17.25" customHeight="1" x14ac:dyDescent="0.25">
      <c r="A32" s="21" t="s">
        <v>68</v>
      </c>
      <c r="B32" s="22" t="s">
        <v>233</v>
      </c>
      <c r="C32" s="23">
        <f>4213604-9600+143000+1700-39000-19200</f>
        <v>4290504</v>
      </c>
    </row>
    <row r="33" spans="1:3" ht="17.25" customHeight="1" x14ac:dyDescent="0.25">
      <c r="A33" s="21" t="s">
        <v>234</v>
      </c>
      <c r="B33" s="22" t="s">
        <v>349</v>
      </c>
      <c r="C33" s="23">
        <f>10538400-76400+170900+196000</f>
        <v>10828900</v>
      </c>
    </row>
    <row r="34" spans="1:3" ht="17.25" customHeight="1" x14ac:dyDescent="0.25">
      <c r="A34" s="21" t="s">
        <v>235</v>
      </c>
      <c r="B34" s="22" t="s">
        <v>237</v>
      </c>
      <c r="C34" s="23">
        <v>16000</v>
      </c>
    </row>
    <row r="35" spans="1:3" ht="17.25" customHeight="1" x14ac:dyDescent="0.25">
      <c r="A35" s="21" t="s">
        <v>236</v>
      </c>
      <c r="B35" s="22" t="s">
        <v>508</v>
      </c>
      <c r="C35" s="23">
        <v>142200</v>
      </c>
    </row>
    <row r="36" spans="1:3" ht="17.25" customHeight="1" x14ac:dyDescent="0.25">
      <c r="A36" s="21" t="s">
        <v>238</v>
      </c>
      <c r="B36" s="22" t="s">
        <v>380</v>
      </c>
      <c r="C36" s="23">
        <f>110191+80661</f>
        <v>190852</v>
      </c>
    </row>
    <row r="37" spans="1:3" ht="17.25" customHeight="1" x14ac:dyDescent="0.25">
      <c r="A37" s="21" t="s">
        <v>239</v>
      </c>
      <c r="B37" s="22" t="s">
        <v>435</v>
      </c>
      <c r="C37" s="23">
        <f>232300+13400</f>
        <v>245700</v>
      </c>
    </row>
    <row r="38" spans="1:3" ht="17.25" customHeight="1" x14ac:dyDescent="0.25">
      <c r="A38" s="21" t="s">
        <v>240</v>
      </c>
      <c r="B38" s="22" t="s">
        <v>436</v>
      </c>
      <c r="C38" s="23">
        <f>156564+1025738+267039+220153</f>
        <v>1669494</v>
      </c>
    </row>
    <row r="39" spans="1:3" ht="17.25" customHeight="1" x14ac:dyDescent="0.25">
      <c r="A39" s="21" t="s">
        <v>241</v>
      </c>
      <c r="B39" s="22" t="s">
        <v>381</v>
      </c>
      <c r="C39" s="23">
        <v>32164</v>
      </c>
    </row>
    <row r="40" spans="1:3" ht="32.25" customHeight="1" x14ac:dyDescent="0.25">
      <c r="A40" s="21" t="s">
        <v>344</v>
      </c>
      <c r="B40" s="22" t="s">
        <v>509</v>
      </c>
      <c r="C40" s="23">
        <f>155351+53170-40001-20400-2775-3901-5000</f>
        <v>136444</v>
      </c>
    </row>
    <row r="41" spans="1:3" ht="17.25" customHeight="1" x14ac:dyDescent="0.25">
      <c r="A41" s="21" t="s">
        <v>345</v>
      </c>
      <c r="B41" s="22" t="s">
        <v>510</v>
      </c>
      <c r="C41" s="23">
        <v>12500</v>
      </c>
    </row>
    <row r="42" spans="1:3" ht="31.5" customHeight="1" x14ac:dyDescent="0.25">
      <c r="A42" s="21" t="s">
        <v>346</v>
      </c>
      <c r="B42" s="22" t="s">
        <v>437</v>
      </c>
      <c r="C42" s="23">
        <f>6626+719+8640+27583+2042+12690+10797+2138+14091</f>
        <v>85326</v>
      </c>
    </row>
    <row r="43" spans="1:3" ht="17.25" customHeight="1" x14ac:dyDescent="0.25">
      <c r="A43" s="21" t="s">
        <v>382</v>
      </c>
      <c r="B43" s="22" t="s">
        <v>511</v>
      </c>
      <c r="C43" s="23">
        <v>51979</v>
      </c>
    </row>
    <row r="44" spans="1:3" ht="18" customHeight="1" x14ac:dyDescent="0.25">
      <c r="A44" s="21" t="s">
        <v>383</v>
      </c>
      <c r="B44" s="22" t="s">
        <v>512</v>
      </c>
      <c r="C44" s="23">
        <f>18146+6750+102000+6300</f>
        <v>133196</v>
      </c>
    </row>
    <row r="45" spans="1:3" ht="32.25" customHeight="1" x14ac:dyDescent="0.25">
      <c r="A45" s="21" t="s">
        <v>384</v>
      </c>
      <c r="B45" s="22" t="s">
        <v>513</v>
      </c>
      <c r="C45" s="23">
        <f>31000+545+4444</f>
        <v>35989</v>
      </c>
    </row>
    <row r="46" spans="1:3" ht="18" customHeight="1" x14ac:dyDescent="0.25">
      <c r="A46" s="21" t="s">
        <v>385</v>
      </c>
      <c r="B46" s="22" t="s">
        <v>386</v>
      </c>
      <c r="C46" s="23">
        <f>4775+10825</f>
        <v>15600</v>
      </c>
    </row>
    <row r="47" spans="1:3" ht="17.25" customHeight="1" x14ac:dyDescent="0.25">
      <c r="A47" s="21" t="s">
        <v>514</v>
      </c>
      <c r="B47" s="22" t="s">
        <v>242</v>
      </c>
      <c r="C47" s="23">
        <v>1816900</v>
      </c>
    </row>
    <row r="48" spans="1:3" ht="17.25" customHeight="1" x14ac:dyDescent="0.25">
      <c r="A48" s="21" t="s">
        <v>519</v>
      </c>
      <c r="B48" s="22" t="s">
        <v>522</v>
      </c>
      <c r="C48" s="23">
        <f>163000-28000</f>
        <v>135000</v>
      </c>
    </row>
    <row r="49" spans="1:3" ht="36.75" customHeight="1" x14ac:dyDescent="0.25">
      <c r="A49" s="21" t="s">
        <v>521</v>
      </c>
      <c r="B49" s="22" t="s">
        <v>520</v>
      </c>
      <c r="C49" s="23">
        <v>6749</v>
      </c>
    </row>
    <row r="50" spans="1:3" ht="15.6" x14ac:dyDescent="0.25">
      <c r="A50" s="21" t="s">
        <v>587</v>
      </c>
      <c r="B50" s="22" t="s">
        <v>588</v>
      </c>
      <c r="C50" s="23">
        <v>11000</v>
      </c>
    </row>
    <row r="51" spans="1:3" s="4" customFormat="1" ht="18.75" customHeight="1" x14ac:dyDescent="0.25">
      <c r="A51" s="18" t="s">
        <v>52</v>
      </c>
      <c r="B51" s="19" t="s">
        <v>243</v>
      </c>
      <c r="C51" s="20">
        <f>900000+30000</f>
        <v>930000</v>
      </c>
    </row>
    <row r="52" spans="1:3" s="4" customFormat="1" ht="19.5" customHeight="1" x14ac:dyDescent="0.25">
      <c r="A52" s="18" t="s">
        <v>53</v>
      </c>
      <c r="B52" s="19" t="s">
        <v>515</v>
      </c>
      <c r="C52" s="20">
        <f>SUM(C53:C56)</f>
        <v>2314458</v>
      </c>
    </row>
    <row r="53" spans="1:3" s="4" customFormat="1" ht="17.25" customHeight="1" x14ac:dyDescent="0.25">
      <c r="A53" s="21" t="s">
        <v>41</v>
      </c>
      <c r="B53" s="22" t="s">
        <v>259</v>
      </c>
      <c r="C53" s="26">
        <v>902100</v>
      </c>
    </row>
    <row r="54" spans="1:3" s="4" customFormat="1" ht="17.25" customHeight="1" x14ac:dyDescent="0.25">
      <c r="A54" s="21" t="s">
        <v>42</v>
      </c>
      <c r="B54" s="22" t="s">
        <v>516</v>
      </c>
      <c r="C54" s="26">
        <f>872938</f>
        <v>872938</v>
      </c>
    </row>
    <row r="55" spans="1:3" s="4" customFormat="1" ht="17.25" customHeight="1" x14ac:dyDescent="0.25">
      <c r="A55" s="21" t="s">
        <v>173</v>
      </c>
      <c r="B55" s="22" t="s">
        <v>517</v>
      </c>
      <c r="C55" s="26">
        <v>425024</v>
      </c>
    </row>
    <row r="56" spans="1:3" s="4" customFormat="1" ht="17.25" customHeight="1" x14ac:dyDescent="0.25">
      <c r="A56" s="21" t="s">
        <v>260</v>
      </c>
      <c r="B56" s="22" t="s">
        <v>261</v>
      </c>
      <c r="C56" s="26">
        <v>114396</v>
      </c>
    </row>
    <row r="57" spans="1:3" s="4" customFormat="1" ht="17.25" customHeight="1" x14ac:dyDescent="0.25">
      <c r="A57" s="18"/>
      <c r="B57" s="19" t="s">
        <v>244</v>
      </c>
      <c r="C57" s="20">
        <f>C10+C20+C31+C51+C52</f>
        <v>53662946</v>
      </c>
    </row>
    <row r="58" spans="1:3" s="4" customFormat="1" ht="17.25" hidden="1" customHeight="1" thickBot="1" x14ac:dyDescent="0.3">
      <c r="A58" s="69"/>
      <c r="B58" s="70"/>
      <c r="C58" s="93">
        <v>4119650</v>
      </c>
    </row>
    <row r="59" spans="1:3" ht="42.75" customHeight="1" x14ac:dyDescent="0.25">
      <c r="B59" s="91" t="s">
        <v>518</v>
      </c>
    </row>
  </sheetData>
  <mergeCells count="4">
    <mergeCell ref="B1:C1"/>
    <mergeCell ref="B2:C2"/>
    <mergeCell ref="A7:C7"/>
    <mergeCell ref="B3:C3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abSelected="1" topLeftCell="A6" workbookViewId="0">
      <selection activeCell="C22" sqref="C22"/>
    </sheetView>
  </sheetViews>
  <sheetFormatPr defaultColWidth="9.109375" defaultRowHeight="13.8" x14ac:dyDescent="0.25"/>
  <cols>
    <col min="1" max="1" width="6" style="94" customWidth="1"/>
    <col min="2" max="2" width="71" style="8" customWidth="1"/>
    <col min="3" max="3" width="15" style="96" customWidth="1"/>
    <col min="4" max="4" width="4" style="8" customWidth="1"/>
    <col min="5" max="16384" width="9.109375" style="8"/>
  </cols>
  <sheetData>
    <row r="1" spans="1:3" ht="15.6" x14ac:dyDescent="0.3">
      <c r="B1" s="129" t="s">
        <v>209</v>
      </c>
      <c r="C1" s="129"/>
    </row>
    <row r="2" spans="1:3" ht="15.6" x14ac:dyDescent="0.3">
      <c r="B2" s="129" t="s">
        <v>489</v>
      </c>
      <c r="C2" s="129"/>
    </row>
    <row r="3" spans="1:3" ht="15.6" x14ac:dyDescent="0.3">
      <c r="B3" s="129" t="s">
        <v>582</v>
      </c>
      <c r="C3" s="129"/>
    </row>
    <row r="4" spans="1:3" ht="15.6" x14ac:dyDescent="0.3">
      <c r="B4" s="16" t="s">
        <v>379</v>
      </c>
      <c r="C4" s="16"/>
    </row>
    <row r="5" spans="1:3" ht="15.6" x14ac:dyDescent="0.3">
      <c r="B5" s="16" t="s">
        <v>387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90"/>
      <c r="C7" s="95"/>
    </row>
    <row r="8" spans="1:3" ht="31.5" customHeight="1" x14ac:dyDescent="0.3">
      <c r="A8" s="131" t="s">
        <v>490</v>
      </c>
      <c r="B8" s="131"/>
      <c r="C8" s="131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4" t="s">
        <v>246</v>
      </c>
      <c r="C11" s="20">
        <f>SUM(C12:C19)</f>
        <v>53662946</v>
      </c>
    </row>
    <row r="12" spans="1:3" ht="16.5" customHeight="1" x14ac:dyDescent="0.25">
      <c r="A12" s="21" t="s">
        <v>211</v>
      </c>
      <c r="B12" s="71" t="s">
        <v>247</v>
      </c>
      <c r="C12" s="119">
        <f>7134949+30000+270000+621-785-270000+31999+3000+200+2045-31000+3680+16000+2800+1000+1400+10000+77141+33227-100</f>
        <v>7316177</v>
      </c>
    </row>
    <row r="13" spans="1:3" ht="16.5" customHeight="1" x14ac:dyDescent="0.25">
      <c r="A13" s="21" t="s">
        <v>213</v>
      </c>
      <c r="B13" s="71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1" t="s">
        <v>249</v>
      </c>
      <c r="C14" s="23">
        <v>117810</v>
      </c>
    </row>
    <row r="15" spans="1:3" ht="16.5" customHeight="1" x14ac:dyDescent="0.25">
      <c r="A15" s="21" t="s">
        <v>217</v>
      </c>
      <c r="B15" s="71" t="s">
        <v>250</v>
      </c>
      <c r="C15" s="23">
        <f>3155600+1816900+320000+135000+320600</f>
        <v>5748100</v>
      </c>
    </row>
    <row r="16" spans="1:3" ht="16.5" customHeight="1" x14ac:dyDescent="0.25">
      <c r="A16" s="21" t="s">
        <v>218</v>
      </c>
      <c r="B16" s="71" t="s">
        <v>251</v>
      </c>
      <c r="C16" s="119">
        <f>2194414+10825+4775+163000+7900-4188-28000+13427</f>
        <v>2362153</v>
      </c>
    </row>
    <row r="17" spans="1:3" ht="16.5" customHeight="1" x14ac:dyDescent="0.25">
      <c r="A17" s="21" t="s">
        <v>219</v>
      </c>
      <c r="B17" s="71" t="s">
        <v>252</v>
      </c>
      <c r="C17" s="119">
        <f>4084532+13000+1000-2830+2000+3000+8000+1725+15600+3000+8000+8000+12000</f>
        <v>4157027</v>
      </c>
    </row>
    <row r="18" spans="1:3" ht="16.5" customHeight="1" x14ac:dyDescent="0.25">
      <c r="A18" s="21" t="s">
        <v>221</v>
      </c>
      <c r="B18" s="71" t="s">
        <v>253</v>
      </c>
      <c r="C18" s="119">
        <f>20545804+10559+40334+8640+20460+6749-7900+270000+418024+60310+220153+11000+80661-76400+170900+196000+4890+20000+310</f>
        <v>22000494</v>
      </c>
    </row>
    <row r="19" spans="1:3" ht="16.5" customHeight="1" x14ac:dyDescent="0.25">
      <c r="A19" s="21" t="s">
        <v>223</v>
      </c>
      <c r="B19" s="71" t="s">
        <v>270</v>
      </c>
      <c r="C19" s="119">
        <f>10107124+100000+445+53170+719+545+4444+6750+50000+27583-39216+2042+12690+240784+140000+13200+6300-2045-3770-90580+1700+24000-39000-19100</f>
        <v>10597785</v>
      </c>
    </row>
    <row r="20" spans="1:3" s="4" customFormat="1" ht="16.5" customHeight="1" x14ac:dyDescent="0.25">
      <c r="A20" s="18" t="s">
        <v>49</v>
      </c>
      <c r="B20" s="104" t="s">
        <v>491</v>
      </c>
      <c r="C20" s="20">
        <f>SUM(C21:C29)</f>
        <v>53662946</v>
      </c>
    </row>
    <row r="21" spans="1:3" ht="16.5" customHeight="1" x14ac:dyDescent="0.25">
      <c r="A21" s="21" t="s">
        <v>43</v>
      </c>
      <c r="B21" s="22" t="s">
        <v>492</v>
      </c>
      <c r="C21" s="119">
        <f>29236038+50000+650000-31000+211000+12000+33227-27</f>
        <v>30161238</v>
      </c>
    </row>
    <row r="22" spans="1:3" ht="31.2" x14ac:dyDescent="0.25">
      <c r="A22" s="21" t="s">
        <v>44</v>
      </c>
      <c r="B22" s="22" t="s">
        <v>493</v>
      </c>
      <c r="C22" s="119">
        <f>4213604-9600+143000+1700-39000-19200</f>
        <v>4290504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119">
        <f>10538400-76400+170900+196000</f>
        <v>10828900</v>
      </c>
    </row>
    <row r="25" spans="1:3" ht="16.5" customHeight="1" x14ac:dyDescent="0.25">
      <c r="A25" s="21" t="s">
        <v>496</v>
      </c>
      <c r="B25" s="22" t="s">
        <v>497</v>
      </c>
      <c r="C25" s="23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119">
        <f>808457+53170+719+545+4444+6750+8640+10825+4775+27583+6749-40001+2042+12690+163000+96950+13400+6300-28000+11000+80661</f>
        <v>1250699</v>
      </c>
    </row>
    <row r="27" spans="1:3" ht="32.25" customHeight="1" x14ac:dyDescent="0.25">
      <c r="A27" s="21" t="s">
        <v>500</v>
      </c>
      <c r="B27" s="22" t="s">
        <v>501</v>
      </c>
      <c r="C27" s="119">
        <f>2701170+20460+13000+1000+621+2000+60310-3770-90580+3000+8000</f>
        <v>2715211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8" t="s">
        <v>505</v>
      </c>
      <c r="C33" s="97">
        <v>51629403</v>
      </c>
    </row>
    <row r="34" spans="2:3" ht="45.75" customHeight="1" x14ac:dyDescent="0.3">
      <c r="B34" s="16" t="s">
        <v>388</v>
      </c>
      <c r="C34" s="98"/>
    </row>
    <row r="35" spans="2:3" ht="15.6" x14ac:dyDescent="0.25">
      <c r="B35" s="68"/>
      <c r="C35" s="9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55"/>
  <sheetViews>
    <sheetView showZeros="0" workbookViewId="0">
      <pane ySplit="10" topLeftCell="A11" activePane="bottomLeft" state="frozen"/>
      <selection pane="bottomLeft" activeCell="F18" sqref="F18"/>
    </sheetView>
  </sheetViews>
  <sheetFormatPr defaultColWidth="9.109375" defaultRowHeight="15" customHeight="1" x14ac:dyDescent="0.25"/>
  <cols>
    <col min="1" max="1" width="6.33203125" style="77" customWidth="1"/>
    <col min="2" max="2" width="57.109375" style="78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2" hidden="1" customWidth="1"/>
    <col min="18" max="18" width="10.44140625" style="62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1"/>
      <c r="B3" s="32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1"/>
      <c r="B4" s="32"/>
      <c r="C4" s="1"/>
      <c r="D4" s="1"/>
      <c r="F4" s="1"/>
      <c r="G4" s="1"/>
      <c r="I4" s="2" t="s">
        <v>583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1"/>
      <c r="B5" s="32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1"/>
      <c r="B6" s="32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1"/>
      <c r="B7" s="130" t="s">
        <v>441</v>
      </c>
      <c r="C7" s="130"/>
      <c r="D7" s="130"/>
      <c r="E7" s="130"/>
      <c r="F7" s="130"/>
      <c r="G7" s="130"/>
      <c r="H7" s="130"/>
      <c r="I7" s="130"/>
      <c r="J7" s="130"/>
      <c r="K7" s="130"/>
      <c r="Q7" s="17"/>
      <c r="R7" s="17"/>
    </row>
    <row r="8" spans="1:19" s="2" customFormat="1" ht="11.25" customHeight="1" x14ac:dyDescent="0.3">
      <c r="A8" s="41"/>
      <c r="B8" s="72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3" customFormat="1" ht="71.25" customHeight="1" x14ac:dyDescent="0.25">
      <c r="A9" s="83" t="s">
        <v>19</v>
      </c>
      <c r="B9" s="83" t="s">
        <v>62</v>
      </c>
      <c r="C9" s="132" t="s">
        <v>21</v>
      </c>
      <c r="D9" s="132"/>
      <c r="E9" s="132"/>
      <c r="F9" s="132" t="s">
        <v>263</v>
      </c>
      <c r="G9" s="132"/>
      <c r="H9" s="132"/>
      <c r="I9" s="132" t="s">
        <v>307</v>
      </c>
      <c r="J9" s="132"/>
      <c r="K9" s="132"/>
      <c r="L9" s="132" t="s">
        <v>264</v>
      </c>
      <c r="M9" s="132"/>
      <c r="N9" s="132"/>
      <c r="O9" s="83" t="s">
        <v>22</v>
      </c>
      <c r="P9" s="74"/>
      <c r="Q9" s="56"/>
      <c r="R9" s="56"/>
    </row>
    <row r="10" spans="1:19" s="4" customFormat="1" ht="14.25" customHeight="1" x14ac:dyDescent="0.25">
      <c r="A10" s="3">
        <v>1</v>
      </c>
      <c r="B10" s="75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4"/>
      <c r="Q10" s="57"/>
      <c r="R10" s="57"/>
    </row>
    <row r="11" spans="1:19" s="5" customFormat="1" ht="15" customHeight="1" x14ac:dyDescent="0.3">
      <c r="A11" s="27"/>
      <c r="B11" s="133" t="s">
        <v>200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85"/>
      <c r="Q11" s="17"/>
      <c r="R11" s="17"/>
    </row>
    <row r="12" spans="1:19" s="6" customFormat="1" ht="15.75" customHeight="1" x14ac:dyDescent="0.25">
      <c r="A12" s="27"/>
      <c r="B12" s="42" t="s">
        <v>28</v>
      </c>
      <c r="C12" s="38">
        <f t="shared" ref="C12:N12" si="0">C13+C14+C33+C36</f>
        <v>5530678</v>
      </c>
      <c r="D12" s="38">
        <f t="shared" si="0"/>
        <v>4160950</v>
      </c>
      <c r="E12" s="38">
        <f t="shared" si="0"/>
        <v>0</v>
      </c>
      <c r="F12" s="38">
        <f t="shared" si="0"/>
        <v>549908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121927</v>
      </c>
      <c r="M12" s="38">
        <f t="shared" si="0"/>
        <v>15000</v>
      </c>
      <c r="N12" s="38">
        <f t="shared" si="0"/>
        <v>0</v>
      </c>
      <c r="O12" s="27">
        <f>C12+F12+I12+L12</f>
        <v>6202513</v>
      </c>
      <c r="P12" s="58"/>
      <c r="Q12" s="58">
        <f>902100+156564+25000+30000+270000</f>
        <v>1383664</v>
      </c>
      <c r="R12" s="58">
        <f>O12+Q12</f>
        <v>7586177</v>
      </c>
      <c r="S12" s="58"/>
    </row>
    <row r="13" spans="1:19" s="5" customFormat="1" ht="15.75" customHeight="1" x14ac:dyDescent="0.3">
      <c r="A13" s="27" t="s">
        <v>50</v>
      </c>
      <c r="B13" s="42" t="s">
        <v>172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58"/>
      <c r="Q13" s="17"/>
      <c r="R13" s="17"/>
    </row>
    <row r="14" spans="1:19" s="5" customFormat="1" ht="16.5" customHeight="1" x14ac:dyDescent="0.3">
      <c r="A14" s="27" t="s">
        <v>49</v>
      </c>
      <c r="B14" s="42" t="s">
        <v>528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549908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121927</v>
      </c>
      <c r="M14" s="38">
        <f t="shared" si="2"/>
        <v>15000</v>
      </c>
      <c r="N14" s="38">
        <f t="shared" si="2"/>
        <v>0</v>
      </c>
      <c r="O14" s="27">
        <f t="shared" si="1"/>
        <v>5605413</v>
      </c>
      <c r="P14" s="58"/>
      <c r="Q14" s="17"/>
      <c r="R14" s="17"/>
    </row>
    <row r="15" spans="1:19" s="2" customFormat="1" ht="15.75" customHeight="1" x14ac:dyDescent="0.3">
      <c r="A15" s="28" t="s">
        <v>43</v>
      </c>
      <c r="B15" s="33" t="s">
        <v>442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58"/>
      <c r="Q15" s="17"/>
      <c r="R15" s="17"/>
    </row>
    <row r="16" spans="1:19" s="2" customFormat="1" ht="15.75" customHeight="1" x14ac:dyDescent="0.3">
      <c r="A16" s="28" t="s">
        <v>44</v>
      </c>
      <c r="B16" s="33" t="s">
        <v>443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58"/>
      <c r="Q16" s="17"/>
      <c r="R16" s="17"/>
    </row>
    <row r="17" spans="1:18" s="2" customFormat="1" ht="15.75" customHeight="1" x14ac:dyDescent="0.3">
      <c r="A17" s="28" t="s">
        <v>45</v>
      </c>
      <c r="B17" s="33" t="s">
        <v>444</v>
      </c>
      <c r="C17" s="123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58"/>
      <c r="Q17" s="17"/>
      <c r="R17" s="17"/>
    </row>
    <row r="18" spans="1:18" s="2" customFormat="1" ht="15.75" customHeight="1" x14ac:dyDescent="0.3">
      <c r="A18" s="28" t="s">
        <v>46</v>
      </c>
      <c r="B18" s="33" t="s">
        <v>445</v>
      </c>
      <c r="C18" s="27"/>
      <c r="D18" s="29"/>
      <c r="E18" s="29"/>
      <c r="F18" s="123">
        <f>520454-2000-600-4600+3000-100</f>
        <v>516154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516154</v>
      </c>
      <c r="P18" s="58"/>
      <c r="Q18" s="17"/>
      <c r="R18" s="17"/>
    </row>
    <row r="19" spans="1:18" s="2" customFormat="1" ht="15.75" customHeight="1" x14ac:dyDescent="0.3">
      <c r="A19" s="28" t="s">
        <v>47</v>
      </c>
      <c r="B19" s="33" t="s">
        <v>446</v>
      </c>
      <c r="C19" s="27"/>
      <c r="D19" s="29"/>
      <c r="E19" s="29"/>
      <c r="F19" s="27">
        <f>35925+2045-785-400-81-150-5000+2000+200</f>
        <v>33754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33754</v>
      </c>
      <c r="P19" s="58"/>
      <c r="Q19" s="17"/>
      <c r="R19" s="17"/>
    </row>
    <row r="20" spans="1:18" s="2" customFormat="1" ht="15.75" customHeight="1" x14ac:dyDescent="0.3">
      <c r="A20" s="30" t="s">
        <v>48</v>
      </c>
      <c r="B20" s="33" t="s">
        <v>90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58"/>
      <c r="Q20" s="17"/>
      <c r="R20" s="17"/>
    </row>
    <row r="21" spans="1:18" s="2" customFormat="1" ht="15.75" customHeight="1" x14ac:dyDescent="0.3">
      <c r="A21" s="30" t="s">
        <v>63</v>
      </c>
      <c r="B21" s="33" t="s">
        <v>96</v>
      </c>
      <c r="C21" s="123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58"/>
      <c r="Q21" s="17"/>
      <c r="R21" s="17"/>
    </row>
    <row r="22" spans="1:18" s="2" customFormat="1" ht="15.75" customHeight="1" x14ac:dyDescent="0.3">
      <c r="A22" s="30" t="s">
        <v>64</v>
      </c>
      <c r="B22" s="33" t="s">
        <v>97</v>
      </c>
      <c r="C22" s="123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58"/>
      <c r="Q22" s="17"/>
      <c r="R22" s="17"/>
    </row>
    <row r="23" spans="1:18" s="1" customFormat="1" ht="15.75" customHeight="1" x14ac:dyDescent="0.3">
      <c r="A23" s="30" t="s">
        <v>65</v>
      </c>
      <c r="B23" s="33" t="s">
        <v>98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58"/>
      <c r="Q23" s="17"/>
      <c r="R23" s="17"/>
    </row>
    <row r="24" spans="1:18" s="2" customFormat="1" ht="15.75" customHeight="1" x14ac:dyDescent="0.3">
      <c r="A24" s="30" t="s">
        <v>66</v>
      </c>
      <c r="B24" s="33" t="s">
        <v>99</v>
      </c>
      <c r="C24" s="123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58"/>
      <c r="Q24" s="17"/>
      <c r="R24" s="17"/>
    </row>
    <row r="25" spans="1:18" s="2" customFormat="1" ht="15.75" customHeight="1" x14ac:dyDescent="0.3">
      <c r="A25" s="30" t="s">
        <v>67</v>
      </c>
      <c r="B25" s="33" t="s">
        <v>100</v>
      </c>
      <c r="C25" s="123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58"/>
      <c r="Q25" s="17"/>
      <c r="R25" s="17"/>
    </row>
    <row r="26" spans="1:18" s="2" customFormat="1" ht="15.75" customHeight="1" x14ac:dyDescent="0.3">
      <c r="A26" s="30" t="s">
        <v>87</v>
      </c>
      <c r="B26" s="33" t="s">
        <v>101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v>3220</v>
      </c>
      <c r="M26" s="29"/>
      <c r="N26" s="29"/>
      <c r="O26" s="27">
        <f t="shared" si="1"/>
        <v>104120</v>
      </c>
      <c r="P26" s="58"/>
      <c r="Q26" s="17"/>
      <c r="R26" s="17"/>
    </row>
    <row r="27" spans="1:18" s="2" customFormat="1" ht="15.75" customHeight="1" x14ac:dyDescent="0.3">
      <c r="A27" s="30" t="s">
        <v>88</v>
      </c>
      <c r="B27" s="33" t="s">
        <v>102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58"/>
      <c r="Q27" s="17"/>
      <c r="R27" s="17"/>
    </row>
    <row r="28" spans="1:18" s="2" customFormat="1" ht="15.75" customHeight="1" x14ac:dyDescent="0.3">
      <c r="A28" s="30" t="s">
        <v>89</v>
      </c>
      <c r="B28" s="33" t="s">
        <v>103</v>
      </c>
      <c r="C28" s="123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58"/>
      <c r="Q28" s="17"/>
      <c r="R28" s="17"/>
    </row>
    <row r="29" spans="1:18" s="2" customFormat="1" ht="15.75" customHeight="1" x14ac:dyDescent="0.3">
      <c r="A29" s="30" t="s">
        <v>107</v>
      </c>
      <c r="B29" s="33" t="s">
        <v>104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</f>
        <v>11570</v>
      </c>
      <c r="M29" s="29"/>
      <c r="N29" s="29"/>
      <c r="O29" s="27">
        <f t="shared" si="1"/>
        <v>146370</v>
      </c>
      <c r="P29" s="58"/>
      <c r="Q29" s="17"/>
      <c r="R29" s="17"/>
    </row>
    <row r="30" spans="1:18" s="2" customFormat="1" ht="15.75" customHeight="1" x14ac:dyDescent="0.3">
      <c r="A30" s="30" t="s">
        <v>108</v>
      </c>
      <c r="B30" s="33" t="s">
        <v>105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58"/>
      <c r="Q30" s="17"/>
      <c r="R30" s="17"/>
    </row>
    <row r="31" spans="1:18" s="2" customFormat="1" ht="15.75" customHeight="1" x14ac:dyDescent="0.3">
      <c r="A31" s="30" t="s">
        <v>109</v>
      </c>
      <c r="B31" s="60" t="s">
        <v>106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58"/>
      <c r="Q31" s="17"/>
      <c r="R31" s="17"/>
    </row>
    <row r="32" spans="1:18" s="1" customFormat="1" ht="29.25" customHeight="1" x14ac:dyDescent="0.3">
      <c r="A32" s="30" t="s">
        <v>110</v>
      </c>
      <c r="B32" s="33" t="s">
        <v>354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58"/>
      <c r="Q32" s="17"/>
      <c r="R32" s="17"/>
    </row>
    <row r="33" spans="1:18" s="9" customFormat="1" ht="15" customHeight="1" x14ac:dyDescent="0.25">
      <c r="A33" s="27" t="s">
        <v>51</v>
      </c>
      <c r="B33" s="42" t="s">
        <v>24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  <c r="R33" s="58"/>
    </row>
    <row r="34" spans="1:18" s="7" customFormat="1" ht="15.75" customHeight="1" x14ac:dyDescent="0.25">
      <c r="A34" s="44" t="s">
        <v>68</v>
      </c>
      <c r="B34" s="45" t="s">
        <v>355</v>
      </c>
      <c r="C34" s="128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  <c r="R34" s="58"/>
    </row>
    <row r="35" spans="1:18" s="7" customFormat="1" ht="44.25" customHeight="1" x14ac:dyDescent="0.25">
      <c r="A35" s="44" t="s">
        <v>234</v>
      </c>
      <c r="B35" s="45" t="s">
        <v>447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  <c r="R35" s="58"/>
    </row>
    <row r="36" spans="1:18" s="9" customFormat="1" ht="15.75" customHeight="1" x14ac:dyDescent="0.25">
      <c r="A36" s="27" t="s">
        <v>52</v>
      </c>
      <c r="B36" s="42" t="s">
        <v>35</v>
      </c>
      <c r="C36" s="27">
        <f t="shared" ref="C36:I36" si="4">SUM(C37:C39)</f>
        <v>284100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284100</v>
      </c>
      <c r="P36" s="58"/>
      <c r="Q36" s="58"/>
      <c r="R36" s="58"/>
    </row>
    <row r="37" spans="1:18" s="7" customFormat="1" ht="15.75" customHeight="1" x14ac:dyDescent="0.25">
      <c r="A37" s="44" t="s">
        <v>39</v>
      </c>
      <c r="B37" s="45" t="s">
        <v>393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  <c r="R37" s="58"/>
    </row>
    <row r="38" spans="1:18" s="7" customFormat="1" ht="45" customHeight="1" x14ac:dyDescent="0.25">
      <c r="A38" s="44" t="s">
        <v>40</v>
      </c>
      <c r="B38" s="45" t="s">
        <v>394</v>
      </c>
      <c r="C38" s="29">
        <v>210000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210000</v>
      </c>
      <c r="P38" s="58"/>
      <c r="Q38" s="58"/>
      <c r="R38" s="58"/>
    </row>
    <row r="39" spans="1:18" s="7" customFormat="1" ht="28.5" hidden="1" customHeight="1" x14ac:dyDescent="0.25">
      <c r="A39" s="44" t="s">
        <v>356</v>
      </c>
      <c r="B39" s="45" t="s">
        <v>395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  <c r="R39" s="58"/>
    </row>
    <row r="40" spans="1:18" s="1" customFormat="1" ht="16.5" customHeight="1" x14ac:dyDescent="0.3">
      <c r="A40" s="46"/>
      <c r="B40" s="133" t="s">
        <v>201</v>
      </c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5"/>
      <c r="P40" s="85"/>
      <c r="Q40" s="17"/>
      <c r="R40" s="17"/>
    </row>
    <row r="41" spans="1:18" s="7" customFormat="1" ht="15.75" customHeight="1" x14ac:dyDescent="0.25">
      <c r="A41" s="29"/>
      <c r="B41" s="42" t="s">
        <v>28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1233400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1288400</v>
      </c>
      <c r="P41" s="58"/>
      <c r="Q41" s="58">
        <v>75000</v>
      </c>
      <c r="R41" s="58">
        <f>O41+Q41</f>
        <v>1363400</v>
      </c>
    </row>
    <row r="42" spans="1:18" s="7" customFormat="1" ht="15.75" customHeight="1" x14ac:dyDescent="0.25">
      <c r="A42" s="27" t="s">
        <v>53</v>
      </c>
      <c r="B42" s="42" t="s">
        <v>35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1233400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1288400</v>
      </c>
      <c r="P42" s="58"/>
      <c r="Q42" s="58"/>
      <c r="R42" s="58"/>
    </row>
    <row r="43" spans="1:18" s="11" customFormat="1" ht="15.75" customHeight="1" x14ac:dyDescent="0.25">
      <c r="A43" s="44" t="s">
        <v>41</v>
      </c>
      <c r="B43" s="45" t="s">
        <v>151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  <c r="R43" s="58"/>
    </row>
    <row r="44" spans="1:18" s="11" customFormat="1" ht="15.75" customHeight="1" x14ac:dyDescent="0.25">
      <c r="A44" s="44" t="s">
        <v>42</v>
      </c>
      <c r="B44" s="45" t="s">
        <v>186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  <c r="R44" s="58"/>
    </row>
    <row r="45" spans="1:18" s="2" customFormat="1" ht="15.75" customHeight="1" x14ac:dyDescent="0.3">
      <c r="A45" s="86" t="s">
        <v>173</v>
      </c>
      <c r="B45" s="32" t="s">
        <v>192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58"/>
      <c r="Q45" s="17"/>
      <c r="R45" s="17"/>
    </row>
    <row r="46" spans="1:18" s="2" customFormat="1" ht="28.5" customHeight="1" x14ac:dyDescent="0.3">
      <c r="A46" s="44" t="s">
        <v>260</v>
      </c>
      <c r="B46" s="33" t="s">
        <v>396</v>
      </c>
      <c r="C46" s="29"/>
      <c r="D46" s="29"/>
      <c r="E46" s="29"/>
      <c r="F46" s="29">
        <v>974400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974400</v>
      </c>
      <c r="P46" s="58"/>
      <c r="Q46" s="17"/>
      <c r="R46" s="17"/>
    </row>
    <row r="47" spans="1:18" s="2" customFormat="1" ht="32.25" customHeight="1" x14ac:dyDescent="0.3">
      <c r="A47" s="47"/>
      <c r="B47" s="133" t="s">
        <v>202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5"/>
      <c r="P47" s="85"/>
      <c r="Q47" s="17"/>
      <c r="R47" s="17"/>
    </row>
    <row r="48" spans="1:18" s="7" customFormat="1" ht="15.75" customHeight="1" x14ac:dyDescent="0.25">
      <c r="A48" s="29"/>
      <c r="B48" s="42" t="s">
        <v>28</v>
      </c>
      <c r="C48" s="38">
        <f t="shared" ref="C48:N48" si="8">C49+C53</f>
        <v>109200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117810</v>
      </c>
      <c r="P48" s="87"/>
      <c r="Q48" s="58"/>
      <c r="R48" s="58">
        <f>O48+Q48</f>
        <v>117810</v>
      </c>
    </row>
    <row r="49" spans="1:22" s="2" customFormat="1" ht="15.75" customHeight="1" x14ac:dyDescent="0.3">
      <c r="A49" s="27" t="s">
        <v>54</v>
      </c>
      <c r="B49" s="42" t="s">
        <v>35</v>
      </c>
      <c r="C49" s="27">
        <f t="shared" ref="C49:N49" si="9">SUM(C50:C52)</f>
        <v>109200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109200</v>
      </c>
      <c r="P49" s="58"/>
      <c r="Q49" s="17"/>
      <c r="R49" s="17"/>
    </row>
    <row r="50" spans="1:22" s="2" customFormat="1" ht="15.75" customHeight="1" x14ac:dyDescent="0.3">
      <c r="A50" s="44" t="s">
        <v>69</v>
      </c>
      <c r="B50" s="48" t="s">
        <v>158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58"/>
      <c r="Q50" s="17"/>
      <c r="R50" s="17"/>
    </row>
    <row r="51" spans="1:22" s="2" customFormat="1" ht="15.75" customHeight="1" x14ac:dyDescent="0.3">
      <c r="A51" s="28" t="s">
        <v>187</v>
      </c>
      <c r="B51" s="48" t="s">
        <v>174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58"/>
      <c r="Q51" s="17"/>
      <c r="R51" s="17"/>
    </row>
    <row r="52" spans="1:22" s="2" customFormat="1" ht="15.75" customHeight="1" x14ac:dyDescent="0.3">
      <c r="A52" s="64" t="s">
        <v>193</v>
      </c>
      <c r="B52" s="33" t="s">
        <v>194</v>
      </c>
      <c r="C52" s="29">
        <v>9000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9000</v>
      </c>
      <c r="P52" s="58"/>
      <c r="Q52" s="17"/>
      <c r="R52" s="17"/>
    </row>
    <row r="53" spans="1:22" s="2" customFormat="1" ht="29.25" customHeight="1" x14ac:dyDescent="0.3">
      <c r="A53" s="27" t="s">
        <v>55</v>
      </c>
      <c r="B53" s="42" t="s">
        <v>205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58"/>
      <c r="Q53" s="17"/>
      <c r="R53" s="17"/>
      <c r="U53" s="55"/>
      <c r="V53" s="55"/>
    </row>
    <row r="54" spans="1:22" s="2" customFormat="1" ht="15.75" customHeight="1" x14ac:dyDescent="0.3">
      <c r="A54" s="44" t="s">
        <v>70</v>
      </c>
      <c r="B54" s="48" t="s">
        <v>397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58"/>
      <c r="Q54" s="17"/>
      <c r="R54" s="17"/>
      <c r="U54" s="55"/>
      <c r="V54" s="55"/>
    </row>
    <row r="55" spans="1:22" s="1" customFormat="1" ht="29.25" customHeight="1" x14ac:dyDescent="0.3">
      <c r="A55" s="46"/>
      <c r="B55" s="140" t="s">
        <v>265</v>
      </c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2"/>
      <c r="P55" s="88"/>
      <c r="Q55" s="17"/>
      <c r="R55" s="17"/>
    </row>
    <row r="56" spans="1:22" s="7" customFormat="1" ht="15.75" customHeight="1" x14ac:dyDescent="0.25">
      <c r="A56" s="29"/>
      <c r="B56" s="42" t="s">
        <v>28</v>
      </c>
      <c r="C56" s="38">
        <f t="shared" ref="C56:N56" si="12">C57+C86</f>
        <v>2652000</v>
      </c>
      <c r="D56" s="38">
        <f t="shared" si="12"/>
        <v>28345</v>
      </c>
      <c r="E56" s="38">
        <f t="shared" si="12"/>
        <v>0</v>
      </c>
      <c r="F56" s="38">
        <f t="shared" si="12"/>
        <v>824200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5293100</v>
      </c>
      <c r="P56" s="58"/>
      <c r="Q56" s="58">
        <f>135000+320000</f>
        <v>455000</v>
      </c>
      <c r="R56" s="58">
        <f>O56+Q56</f>
        <v>5748100</v>
      </c>
    </row>
    <row r="57" spans="1:22" s="7" customFormat="1" ht="15.75" customHeight="1" x14ac:dyDescent="0.25">
      <c r="A57" s="27" t="s">
        <v>56</v>
      </c>
      <c r="B57" s="42" t="s">
        <v>35</v>
      </c>
      <c r="C57" s="38">
        <f>SUM(C58:C72,C85)</f>
        <v>2579000</v>
      </c>
      <c r="D57" s="38">
        <f t="shared" ref="D57:L57" si="13">SUM(D58:D72,D85)</f>
        <v>0</v>
      </c>
      <c r="E57" s="38">
        <f t="shared" si="13"/>
        <v>0</v>
      </c>
      <c r="F57" s="38">
        <f t="shared" si="13"/>
        <v>0</v>
      </c>
      <c r="G57" s="38">
        <f t="shared" si="13"/>
        <v>0</v>
      </c>
      <c r="H57" s="38">
        <f t="shared" si="13"/>
        <v>0</v>
      </c>
      <c r="I57" s="38">
        <f t="shared" si="13"/>
        <v>1816900</v>
      </c>
      <c r="J57" s="38">
        <f t="shared" si="13"/>
        <v>0</v>
      </c>
      <c r="K57" s="38">
        <f t="shared" si="13"/>
        <v>0</v>
      </c>
      <c r="L57" s="38">
        <f t="shared" si="13"/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4395900</v>
      </c>
      <c r="P57" s="58"/>
      <c r="Q57" s="58"/>
      <c r="R57" s="58"/>
    </row>
    <row r="58" spans="1:22" s="2" customFormat="1" ht="45" customHeight="1" x14ac:dyDescent="0.3">
      <c r="A58" s="44" t="s">
        <v>71</v>
      </c>
      <c r="B58" s="33" t="s">
        <v>175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58"/>
      <c r="Q58" s="17"/>
      <c r="R58" s="17"/>
    </row>
    <row r="59" spans="1:22" s="11" customFormat="1" ht="15.75" customHeight="1" x14ac:dyDescent="0.25">
      <c r="A59" s="44" t="s">
        <v>72</v>
      </c>
      <c r="B59" s="45" t="s">
        <v>398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  <c r="R59" s="58"/>
    </row>
    <row r="60" spans="1:22" s="2" customFormat="1" ht="30" customHeight="1" x14ac:dyDescent="0.3">
      <c r="A60" s="44" t="s">
        <v>73</v>
      </c>
      <c r="B60" s="45" t="s">
        <v>448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58"/>
      <c r="Q60" s="17"/>
      <c r="R60" s="17"/>
    </row>
    <row r="61" spans="1:22" s="7" customFormat="1" ht="30" customHeight="1" x14ac:dyDescent="0.25">
      <c r="A61" s="44" t="s">
        <v>111</v>
      </c>
      <c r="B61" s="45" t="s">
        <v>266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  <c r="R61" s="58"/>
    </row>
    <row r="62" spans="1:22" s="7" customFormat="1" ht="13.8" x14ac:dyDescent="0.25">
      <c r="A62" s="44" t="s">
        <v>112</v>
      </c>
      <c r="B62" s="45" t="s">
        <v>581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  <c r="R62" s="58"/>
    </row>
    <row r="63" spans="1:22" s="2" customFormat="1" ht="15.75" customHeight="1" x14ac:dyDescent="0.3">
      <c r="A63" s="44" t="s">
        <v>113</v>
      </c>
      <c r="B63" s="33" t="s">
        <v>189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58"/>
      <c r="Q63" s="17"/>
      <c r="R63" s="17"/>
    </row>
    <row r="64" spans="1:22" s="2" customFormat="1" ht="30.75" customHeight="1" x14ac:dyDescent="0.3">
      <c r="A64" s="44" t="s">
        <v>114</v>
      </c>
      <c r="B64" s="45" t="s">
        <v>449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58"/>
      <c r="Q64" s="17"/>
      <c r="R64" s="17"/>
    </row>
    <row r="65" spans="1:22" s="7" customFormat="1" ht="15.75" customHeight="1" x14ac:dyDescent="0.25">
      <c r="A65" s="44" t="s">
        <v>115</v>
      </c>
      <c r="B65" s="45" t="s">
        <v>29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  <c r="R65" s="58"/>
    </row>
    <row r="66" spans="1:22" s="11" customFormat="1" ht="29.25" customHeight="1" x14ac:dyDescent="0.25">
      <c r="A66" s="44" t="s">
        <v>116</v>
      </c>
      <c r="B66" s="45" t="s">
        <v>176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  <c r="R66" s="58"/>
    </row>
    <row r="67" spans="1:22" s="11" customFormat="1" ht="30" customHeight="1" x14ac:dyDescent="0.25">
      <c r="A67" s="44" t="s">
        <v>117</v>
      </c>
      <c r="B67" s="45" t="s">
        <v>350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  <c r="R67" s="58"/>
    </row>
    <row r="68" spans="1:22" s="2" customFormat="1" ht="15.75" customHeight="1" x14ac:dyDescent="0.3">
      <c r="A68" s="44" t="s">
        <v>118</v>
      </c>
      <c r="B68" s="33" t="s">
        <v>450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58"/>
      <c r="Q68" s="17"/>
      <c r="R68" s="17"/>
    </row>
    <row r="69" spans="1:22" s="2" customFormat="1" ht="15.75" customHeight="1" x14ac:dyDescent="0.3">
      <c r="A69" s="44" t="s">
        <v>160</v>
      </c>
      <c r="B69" s="33" t="s">
        <v>399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58"/>
      <c r="Q69" s="17"/>
      <c r="R69" s="17"/>
    </row>
    <row r="70" spans="1:22" s="2" customFormat="1" ht="15.75" customHeight="1" x14ac:dyDescent="0.3">
      <c r="A70" s="44" t="s">
        <v>400</v>
      </c>
      <c r="B70" s="33" t="s">
        <v>390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58"/>
      <c r="Q70" s="17"/>
      <c r="R70" s="17"/>
    </row>
    <row r="71" spans="1:22" s="2" customFormat="1" ht="16.5" customHeight="1" x14ac:dyDescent="0.3">
      <c r="A71" s="44" t="s">
        <v>401</v>
      </c>
      <c r="B71" s="60" t="s">
        <v>451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8"/>
      <c r="R71" s="55"/>
      <c r="U71" s="55"/>
      <c r="V71" s="55"/>
    </row>
    <row r="72" spans="1:22" s="1" customFormat="1" ht="29.25" customHeight="1" x14ac:dyDescent="0.3">
      <c r="A72" s="29"/>
      <c r="B72" s="33" t="s">
        <v>177</v>
      </c>
      <c r="C72" s="29">
        <f t="shared" ref="C72:O72" si="15">SUM(C73:C84)</f>
        <v>1030600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1030600</v>
      </c>
      <c r="P72" s="58"/>
      <c r="Q72" s="17"/>
      <c r="R72" s="17"/>
    </row>
    <row r="73" spans="1:22" s="2" customFormat="1" ht="15.75" customHeight="1" x14ac:dyDescent="0.3">
      <c r="A73" s="44" t="s">
        <v>402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58"/>
      <c r="Q73" s="17"/>
      <c r="R73" s="17"/>
    </row>
    <row r="74" spans="1:22" s="2" customFormat="1" ht="15.75" customHeight="1" x14ac:dyDescent="0.3">
      <c r="A74" s="44" t="s">
        <v>403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58"/>
      <c r="Q74" s="17"/>
      <c r="R74" s="17"/>
    </row>
    <row r="75" spans="1:22" s="1" customFormat="1" ht="15.75" customHeight="1" x14ac:dyDescent="0.3">
      <c r="A75" s="44" t="s">
        <v>404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58"/>
      <c r="Q75" s="17"/>
      <c r="R75" s="17"/>
    </row>
    <row r="76" spans="1:22" s="2" customFormat="1" ht="15.75" customHeight="1" x14ac:dyDescent="0.3">
      <c r="A76" s="44" t="s">
        <v>405</v>
      </c>
      <c r="B76" s="33" t="s">
        <v>7</v>
      </c>
      <c r="C76" s="128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58"/>
      <c r="Q76" s="17"/>
      <c r="R76" s="17"/>
    </row>
    <row r="77" spans="1:22" s="2" customFormat="1" ht="15.75" customHeight="1" x14ac:dyDescent="0.3">
      <c r="A77" s="44" t="s">
        <v>406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58"/>
      <c r="Q77" s="17"/>
      <c r="R77" s="17"/>
    </row>
    <row r="78" spans="1:22" s="2" customFormat="1" ht="15.75" customHeight="1" x14ac:dyDescent="0.3">
      <c r="A78" s="44" t="s">
        <v>407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58"/>
      <c r="Q78" s="17"/>
      <c r="R78" s="17"/>
    </row>
    <row r="79" spans="1:22" s="2" customFormat="1" ht="15.75" customHeight="1" x14ac:dyDescent="0.3">
      <c r="A79" s="44" t="s">
        <v>408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58"/>
      <c r="Q79" s="17"/>
      <c r="R79" s="17"/>
    </row>
    <row r="80" spans="1:22" s="2" customFormat="1" ht="15.75" customHeight="1" x14ac:dyDescent="0.3">
      <c r="A80" s="44" t="s">
        <v>409</v>
      </c>
      <c r="B80" s="33" t="s">
        <v>3</v>
      </c>
      <c r="C80" s="128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58"/>
      <c r="Q80" s="17"/>
      <c r="R80" s="17"/>
    </row>
    <row r="81" spans="1:22" s="2" customFormat="1" ht="15.75" customHeight="1" x14ac:dyDescent="0.3">
      <c r="A81" s="49" t="s">
        <v>410</v>
      </c>
      <c r="B81" s="33" t="s">
        <v>2</v>
      </c>
      <c r="C81" s="128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58"/>
      <c r="Q81" s="17"/>
      <c r="R81" s="17"/>
    </row>
    <row r="82" spans="1:22" s="2" customFormat="1" ht="15.75" customHeight="1" x14ac:dyDescent="0.3">
      <c r="A82" s="49" t="s">
        <v>411</v>
      </c>
      <c r="B82" s="33" t="s">
        <v>1</v>
      </c>
      <c r="C82" s="29">
        <v>22300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22300</v>
      </c>
      <c r="P82" s="58"/>
      <c r="Q82" s="17"/>
      <c r="R82" s="17"/>
    </row>
    <row r="83" spans="1:22" s="2" customFormat="1" ht="15.75" customHeight="1" x14ac:dyDescent="0.3">
      <c r="A83" s="44" t="s">
        <v>412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58"/>
      <c r="Q83" s="17"/>
      <c r="R83" s="17"/>
    </row>
    <row r="84" spans="1:22" s="7" customFormat="1" ht="15.75" customHeight="1" x14ac:dyDescent="0.25">
      <c r="A84" s="44" t="s">
        <v>413</v>
      </c>
      <c r="B84" s="45" t="s">
        <v>271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  <c r="R84" s="58"/>
    </row>
    <row r="85" spans="1:22" s="2" customFormat="1" ht="30" customHeight="1" x14ac:dyDescent="0.3">
      <c r="A85" s="44" t="s">
        <v>414</v>
      </c>
      <c r="B85" s="60" t="s">
        <v>357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8"/>
      <c r="R85" s="55"/>
      <c r="U85" s="55"/>
      <c r="V85" s="55"/>
    </row>
    <row r="86" spans="1:22" s="2" customFormat="1" ht="15.75" customHeight="1" x14ac:dyDescent="0.3">
      <c r="A86" s="27" t="s">
        <v>57</v>
      </c>
      <c r="B86" s="50" t="s">
        <v>119</v>
      </c>
      <c r="C86" s="27">
        <v>73000</v>
      </c>
      <c r="D86" s="27">
        <v>28345</v>
      </c>
      <c r="E86" s="27"/>
      <c r="F86" s="27">
        <v>824200</v>
      </c>
      <c r="G86" s="27">
        <v>733435</v>
      </c>
      <c r="H86" s="27"/>
      <c r="I86" s="27"/>
      <c r="J86" s="27"/>
      <c r="K86" s="27"/>
      <c r="L86" s="27"/>
      <c r="M86" s="27"/>
      <c r="N86" s="27"/>
      <c r="O86" s="27">
        <f>C86+F86+I86+L86</f>
        <v>897200</v>
      </c>
      <c r="P86" s="58"/>
      <c r="Q86" s="17"/>
      <c r="R86" s="17"/>
    </row>
    <row r="87" spans="1:22" s="1" customFormat="1" ht="31.5" customHeight="1" x14ac:dyDescent="0.3">
      <c r="A87" s="46"/>
      <c r="B87" s="136" t="s">
        <v>580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85"/>
      <c r="Q87" s="17"/>
      <c r="R87" s="17"/>
    </row>
    <row r="88" spans="1:22" s="7" customFormat="1" ht="15.75" customHeight="1" x14ac:dyDescent="0.25">
      <c r="A88" s="29"/>
      <c r="B88" s="42" t="s">
        <v>28</v>
      </c>
      <c r="C88" s="38">
        <f>C89+C96+C106+C109</f>
        <v>392139</v>
      </c>
      <c r="D88" s="38">
        <f t="shared" ref="D88:N88" si="17">D89+D96+D106+D109</f>
        <v>0</v>
      </c>
      <c r="E88" s="38">
        <f t="shared" si="17"/>
        <v>0</v>
      </c>
      <c r="F88" s="38">
        <f>F89+F96+F106+F109+F91</f>
        <v>441850</v>
      </c>
      <c r="G88" s="38">
        <f t="shared" si="17"/>
        <v>200680</v>
      </c>
      <c r="H88" s="38">
        <f t="shared" si="17"/>
        <v>0</v>
      </c>
      <c r="I88" s="38">
        <f t="shared" si="17"/>
        <v>0</v>
      </c>
      <c r="J88" s="38">
        <f t="shared" si="17"/>
        <v>0</v>
      </c>
      <c r="K88" s="38">
        <f t="shared" si="17"/>
        <v>0</v>
      </c>
      <c r="L88" s="38">
        <f t="shared" si="17"/>
        <v>1528164</v>
      </c>
      <c r="M88" s="38">
        <f t="shared" si="17"/>
        <v>0</v>
      </c>
      <c r="N88" s="38">
        <f t="shared" si="17"/>
        <v>0</v>
      </c>
      <c r="O88" s="38">
        <f>C88+F88+I88+L88</f>
        <v>2362153</v>
      </c>
      <c r="P88" s="87"/>
      <c r="Q88" s="58"/>
      <c r="R88" s="58">
        <f>O88+Q88</f>
        <v>2362153</v>
      </c>
    </row>
    <row r="89" spans="1:22" s="7" customFormat="1" ht="30" customHeight="1" x14ac:dyDescent="0.25">
      <c r="A89" s="27" t="s">
        <v>58</v>
      </c>
      <c r="B89" s="42" t="s">
        <v>208</v>
      </c>
      <c r="C89" s="38">
        <f>SUM(C90,C93,C92,C95)</f>
        <v>0</v>
      </c>
      <c r="D89" s="38">
        <f t="shared" ref="D89:K89" si="18">SUM(D90,D93,D92,D95)</f>
        <v>0</v>
      </c>
      <c r="E89" s="38">
        <f t="shared" si="18"/>
        <v>0</v>
      </c>
      <c r="F89" s="38">
        <f t="shared" si="18"/>
        <v>0</v>
      </c>
      <c r="G89" s="38">
        <f t="shared" si="18"/>
        <v>0</v>
      </c>
      <c r="H89" s="38">
        <f t="shared" si="18"/>
        <v>0</v>
      </c>
      <c r="I89" s="38">
        <f t="shared" si="18"/>
        <v>0</v>
      </c>
      <c r="J89" s="38"/>
      <c r="K89" s="38">
        <f t="shared" si="18"/>
        <v>0</v>
      </c>
      <c r="L89" s="38">
        <f>SUM(L90:L95)</f>
        <v>289396</v>
      </c>
      <c r="M89" s="38">
        <f>SUM(M90:M95)</f>
        <v>0</v>
      </c>
      <c r="N89" s="38">
        <f>SUM(N90:N95)</f>
        <v>0</v>
      </c>
      <c r="O89" s="27">
        <f t="shared" ref="O89:O110" si="19">C89+F89+I89+L89</f>
        <v>289396</v>
      </c>
      <c r="P89" s="58"/>
      <c r="Q89" s="58"/>
      <c r="R89" s="58"/>
    </row>
    <row r="90" spans="1:22" s="11" customFormat="1" ht="15.75" customHeight="1" x14ac:dyDescent="0.25">
      <c r="A90" s="44" t="s">
        <v>74</v>
      </c>
      <c r="B90" s="45" t="s">
        <v>179</v>
      </c>
      <c r="C90" s="37"/>
      <c r="D90" s="37"/>
      <c r="E90" s="37"/>
      <c r="F90" s="37"/>
      <c r="G90" s="37"/>
      <c r="H90" s="37"/>
      <c r="I90" s="37"/>
      <c r="J90" s="37"/>
      <c r="K90" s="37"/>
      <c r="L90" s="37">
        <v>25000</v>
      </c>
      <c r="M90" s="37"/>
      <c r="N90" s="37"/>
      <c r="O90" s="27">
        <f t="shared" si="19"/>
        <v>25000</v>
      </c>
      <c r="P90" s="58"/>
      <c r="Q90" s="58"/>
      <c r="R90" s="58"/>
    </row>
    <row r="91" spans="1:22" s="11" customFormat="1" ht="29.25" customHeight="1" x14ac:dyDescent="0.25">
      <c r="A91" s="51" t="s">
        <v>75</v>
      </c>
      <c r="B91" s="45" t="s">
        <v>452</v>
      </c>
      <c r="C91" s="76"/>
      <c r="D91" s="76"/>
      <c r="E91" s="76"/>
      <c r="F91" s="76">
        <f>10825+4775</f>
        <v>15600</v>
      </c>
      <c r="G91" s="76"/>
      <c r="H91" s="76"/>
      <c r="I91" s="76"/>
      <c r="J91" s="76"/>
      <c r="K91" s="76"/>
      <c r="L91" s="76">
        <f>63790+35334-2900-1500</f>
        <v>94724</v>
      </c>
      <c r="M91" s="76"/>
      <c r="N91" s="76"/>
      <c r="O91" s="27">
        <f t="shared" si="19"/>
        <v>110324</v>
      </c>
      <c r="P91" s="58"/>
      <c r="Q91" s="58"/>
      <c r="R91" s="58"/>
    </row>
    <row r="92" spans="1:22" s="8" customFormat="1" ht="15.75" customHeight="1" x14ac:dyDescent="0.25">
      <c r="A92" s="51" t="s">
        <v>76</v>
      </c>
      <c r="B92" s="52" t="s">
        <v>180</v>
      </c>
      <c r="C92" s="34"/>
      <c r="D92" s="34"/>
      <c r="E92" s="34"/>
      <c r="F92" s="34"/>
      <c r="G92" s="34"/>
      <c r="H92" s="34"/>
      <c r="I92" s="34"/>
      <c r="J92" s="34"/>
      <c r="K92" s="34"/>
      <c r="L92" s="34">
        <f>1000</f>
        <v>1000</v>
      </c>
      <c r="M92" s="34"/>
      <c r="N92" s="34"/>
      <c r="O92" s="27">
        <f t="shared" si="19"/>
        <v>1000</v>
      </c>
      <c r="P92" s="58"/>
      <c r="Q92" s="57"/>
      <c r="R92" s="57"/>
    </row>
    <row r="93" spans="1:22" s="11" customFormat="1" ht="30" customHeight="1" x14ac:dyDescent="0.25">
      <c r="A93" s="44" t="s">
        <v>120</v>
      </c>
      <c r="B93" s="45" t="s">
        <v>453</v>
      </c>
      <c r="C93" s="37"/>
      <c r="D93" s="37"/>
      <c r="E93" s="37"/>
      <c r="F93" s="37"/>
      <c r="G93" s="37"/>
      <c r="H93" s="37"/>
      <c r="I93" s="37"/>
      <c r="J93" s="37"/>
      <c r="K93" s="37"/>
      <c r="L93" s="37">
        <f>55000+75272</f>
        <v>130272</v>
      </c>
      <c r="M93" s="37"/>
      <c r="N93" s="37"/>
      <c r="O93" s="27">
        <f t="shared" si="19"/>
        <v>130272</v>
      </c>
      <c r="P93" s="58"/>
      <c r="Q93" s="58"/>
      <c r="R93" s="58"/>
    </row>
    <row r="94" spans="1:22" s="11" customFormat="1" ht="30" customHeight="1" x14ac:dyDescent="0.25">
      <c r="A94" s="44" t="s">
        <v>178</v>
      </c>
      <c r="B94" s="45" t="s">
        <v>416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10000+2900+1500</f>
        <v>14400</v>
      </c>
      <c r="M94" s="37"/>
      <c r="N94" s="37"/>
      <c r="O94" s="27">
        <f t="shared" si="19"/>
        <v>14400</v>
      </c>
      <c r="P94" s="58"/>
      <c r="Q94" s="58"/>
      <c r="R94" s="58"/>
    </row>
    <row r="95" spans="1:22" s="8" customFormat="1" ht="15.75" customHeight="1" x14ac:dyDescent="0.25">
      <c r="A95" s="44" t="s">
        <v>415</v>
      </c>
      <c r="B95" s="45" t="s">
        <v>30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>20210+3790</f>
        <v>24000</v>
      </c>
      <c r="M95" s="29"/>
      <c r="N95" s="29"/>
      <c r="O95" s="27">
        <f t="shared" si="19"/>
        <v>24000</v>
      </c>
      <c r="P95" s="58"/>
      <c r="Q95" s="57"/>
      <c r="R95" s="57"/>
    </row>
    <row r="96" spans="1:22" s="9" customFormat="1" ht="15.75" customHeight="1" x14ac:dyDescent="0.25">
      <c r="A96" s="27" t="s">
        <v>59</v>
      </c>
      <c r="B96" s="42" t="s">
        <v>35</v>
      </c>
      <c r="C96" s="27">
        <f>SUM(C97:C105)</f>
        <v>383739</v>
      </c>
      <c r="D96" s="27">
        <f t="shared" ref="D96:N96" si="20">SUM(D97:D105)</f>
        <v>0</v>
      </c>
      <c r="E96" s="27">
        <f t="shared" si="20"/>
        <v>0</v>
      </c>
      <c r="F96" s="27">
        <f>SUM(F97:F105)</f>
        <v>137000</v>
      </c>
      <c r="G96" s="27">
        <f t="shared" si="20"/>
        <v>1770</v>
      </c>
      <c r="H96" s="27">
        <f t="shared" si="20"/>
        <v>0</v>
      </c>
      <c r="I96" s="27">
        <f>SUM(I97:I105)</f>
        <v>0</v>
      </c>
      <c r="J96" s="27">
        <f t="shared" si="20"/>
        <v>0</v>
      </c>
      <c r="K96" s="27">
        <f t="shared" si="20"/>
        <v>0</v>
      </c>
      <c r="L96" s="27">
        <f>SUM(L97:L105)</f>
        <v>1220000</v>
      </c>
      <c r="M96" s="27">
        <f t="shared" si="20"/>
        <v>0</v>
      </c>
      <c r="N96" s="27">
        <f t="shared" si="20"/>
        <v>0</v>
      </c>
      <c r="O96" s="27">
        <f>C96+F96+I96+L96</f>
        <v>1740739</v>
      </c>
      <c r="P96" s="58"/>
      <c r="Q96" s="58"/>
      <c r="R96" s="58"/>
    </row>
    <row r="97" spans="1:22" s="11" customFormat="1" ht="30.75" customHeight="1" x14ac:dyDescent="0.25">
      <c r="A97" s="28" t="s">
        <v>154</v>
      </c>
      <c r="B97" s="45" t="s">
        <v>454</v>
      </c>
      <c r="C97" s="121">
        <f>140000+24442+13427</f>
        <v>177869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7">
        <f t="shared" si="19"/>
        <v>177869</v>
      </c>
      <c r="P97" s="58"/>
      <c r="Q97" s="58"/>
      <c r="R97" s="58"/>
    </row>
    <row r="98" spans="1:22" s="7" customFormat="1" ht="29.25" customHeight="1" x14ac:dyDescent="0.25">
      <c r="A98" s="44" t="s">
        <v>77</v>
      </c>
      <c r="B98" s="45" t="s">
        <v>455</v>
      </c>
      <c r="C98" s="37">
        <v>100000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>C98+F98+I98+L98</f>
        <v>100000</v>
      </c>
      <c r="P98" s="58"/>
      <c r="R98" s="41"/>
      <c r="U98" s="41"/>
      <c r="V98" s="41"/>
    </row>
    <row r="99" spans="1:22" s="7" customFormat="1" ht="27.75" customHeight="1" x14ac:dyDescent="0.25">
      <c r="A99" s="28" t="s">
        <v>78</v>
      </c>
      <c r="B99" s="45" t="s">
        <v>351</v>
      </c>
      <c r="C99" s="37">
        <v>10000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</v>
      </c>
      <c r="P99" s="58"/>
      <c r="R99" s="41"/>
      <c r="U99" s="41"/>
      <c r="V99" s="41"/>
    </row>
    <row r="100" spans="1:22" s="7" customFormat="1" ht="16.5" customHeight="1" x14ac:dyDescent="0.25">
      <c r="A100" s="28" t="s">
        <v>166</v>
      </c>
      <c r="B100" s="33" t="s">
        <v>456</v>
      </c>
      <c r="C100" s="37">
        <v>90000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90000</v>
      </c>
      <c r="P100" s="58"/>
      <c r="R100" s="41"/>
      <c r="U100" s="41"/>
      <c r="V100" s="41"/>
    </row>
    <row r="101" spans="1:22" s="7" customFormat="1" ht="16.5" customHeight="1" x14ac:dyDescent="0.25">
      <c r="A101" s="28" t="s">
        <v>272</v>
      </c>
      <c r="B101" s="45" t="s">
        <v>457</v>
      </c>
      <c r="C101" s="37">
        <f>30000-29130</f>
        <v>870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870</v>
      </c>
      <c r="P101" s="58"/>
      <c r="R101" s="41"/>
      <c r="U101" s="41"/>
      <c r="V101" s="41"/>
    </row>
    <row r="102" spans="1:22" s="7" customFormat="1" ht="15.75" customHeight="1" x14ac:dyDescent="0.25">
      <c r="A102" s="28" t="s">
        <v>273</v>
      </c>
      <c r="B102" s="45" t="s">
        <v>195</v>
      </c>
      <c r="C102" s="37"/>
      <c r="D102" s="38"/>
      <c r="E102" s="38"/>
      <c r="F102" s="37">
        <v>2000</v>
      </c>
      <c r="G102" s="37">
        <v>1770</v>
      </c>
      <c r="H102" s="37"/>
      <c r="I102" s="37"/>
      <c r="J102" s="38"/>
      <c r="K102" s="37"/>
      <c r="L102" s="38"/>
      <c r="M102" s="38"/>
      <c r="N102" s="38"/>
      <c r="O102" s="27">
        <f t="shared" si="19"/>
        <v>2000</v>
      </c>
      <c r="P102" s="58"/>
      <c r="Q102" s="58"/>
      <c r="R102" s="58"/>
    </row>
    <row r="103" spans="1:22" s="11" customFormat="1" ht="16.5" customHeight="1" x14ac:dyDescent="0.25">
      <c r="A103" s="28" t="s">
        <v>348</v>
      </c>
      <c r="B103" s="45" t="s">
        <v>417</v>
      </c>
      <c r="C103" s="37">
        <v>5000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7">
        <f>C103+F103+I103+L103</f>
        <v>5000</v>
      </c>
      <c r="P103" s="58"/>
      <c r="Q103" s="58"/>
      <c r="R103" s="58"/>
    </row>
    <row r="104" spans="1:22" s="11" customFormat="1" ht="15.75" customHeight="1" x14ac:dyDescent="0.25">
      <c r="A104" s="28" t="s">
        <v>418</v>
      </c>
      <c r="B104" s="45" t="s">
        <v>155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>
        <f>794976+425024</f>
        <v>1220000</v>
      </c>
      <c r="M104" s="37"/>
      <c r="N104" s="37"/>
      <c r="O104" s="27">
        <f>C104+F104+I104+L104</f>
        <v>1220000</v>
      </c>
      <c r="P104" s="58"/>
      <c r="Q104" s="58"/>
      <c r="R104" s="58"/>
    </row>
    <row r="105" spans="1:22" s="11" customFormat="1" ht="13.8" x14ac:dyDescent="0.25">
      <c r="A105" s="28" t="s">
        <v>526</v>
      </c>
      <c r="B105" s="45" t="s">
        <v>527</v>
      </c>
      <c r="C105" s="37"/>
      <c r="D105" s="37"/>
      <c r="E105" s="37"/>
      <c r="F105" s="121">
        <f>163000-28000</f>
        <v>135000</v>
      </c>
      <c r="G105" s="37"/>
      <c r="H105" s="37"/>
      <c r="I105" s="37"/>
      <c r="J105" s="37"/>
      <c r="K105" s="37"/>
      <c r="L105" s="37"/>
      <c r="M105" s="37"/>
      <c r="N105" s="37" t="s">
        <v>347</v>
      </c>
      <c r="O105" s="27">
        <f>C105+F105+I105+L105</f>
        <v>135000</v>
      </c>
      <c r="P105" s="58"/>
      <c r="Q105" s="58"/>
      <c r="R105" s="58"/>
    </row>
    <row r="106" spans="1:22" s="4" customFormat="1" ht="28.5" customHeight="1" x14ac:dyDescent="0.25">
      <c r="A106" s="27" t="s">
        <v>60</v>
      </c>
      <c r="B106" s="42" t="s">
        <v>205</v>
      </c>
      <c r="C106" s="29">
        <f t="shared" ref="C106:N106" si="21">SUM(C107:C108)</f>
        <v>0</v>
      </c>
      <c r="D106" s="29">
        <f t="shared" si="21"/>
        <v>0</v>
      </c>
      <c r="E106" s="29">
        <f t="shared" si="21"/>
        <v>0</v>
      </c>
      <c r="F106" s="29">
        <f t="shared" si="21"/>
        <v>0</v>
      </c>
      <c r="G106" s="29">
        <f t="shared" si="21"/>
        <v>0</v>
      </c>
      <c r="H106" s="29">
        <f t="shared" si="21"/>
        <v>0</v>
      </c>
      <c r="I106" s="29">
        <f t="shared" si="21"/>
        <v>0</v>
      </c>
      <c r="J106" s="29">
        <f t="shared" si="21"/>
        <v>0</v>
      </c>
      <c r="K106" s="29">
        <f t="shared" si="21"/>
        <v>0</v>
      </c>
      <c r="L106" s="27">
        <f t="shared" si="21"/>
        <v>13268</v>
      </c>
      <c r="M106" s="29">
        <f t="shared" si="21"/>
        <v>0</v>
      </c>
      <c r="N106" s="29">
        <f t="shared" si="21"/>
        <v>0</v>
      </c>
      <c r="O106" s="27">
        <f t="shared" si="19"/>
        <v>13268</v>
      </c>
      <c r="P106" s="58"/>
      <c r="Q106" s="57"/>
      <c r="R106" s="57"/>
    </row>
    <row r="107" spans="1:22" s="10" customFormat="1" ht="15.75" customHeight="1" x14ac:dyDescent="0.3">
      <c r="A107" s="49" t="s">
        <v>79</v>
      </c>
      <c r="B107" s="33" t="s">
        <v>358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>
        <v>916</v>
      </c>
      <c r="M107" s="37"/>
      <c r="N107" s="37"/>
      <c r="O107" s="27">
        <f t="shared" si="19"/>
        <v>916</v>
      </c>
      <c r="P107" s="58"/>
      <c r="Q107" s="59"/>
      <c r="R107" s="59"/>
    </row>
    <row r="108" spans="1:22" s="10" customFormat="1" ht="15.75" customHeight="1" x14ac:dyDescent="0.3">
      <c r="A108" s="49" t="s">
        <v>80</v>
      </c>
      <c r="B108" s="33" t="s">
        <v>359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>
        <v>12352</v>
      </c>
      <c r="M108" s="37"/>
      <c r="N108" s="37"/>
      <c r="O108" s="27">
        <f t="shared" si="19"/>
        <v>12352</v>
      </c>
      <c r="P108" s="58"/>
      <c r="Q108" s="59"/>
      <c r="R108" s="59"/>
    </row>
    <row r="109" spans="1:22" s="4" customFormat="1" ht="16.5" customHeight="1" x14ac:dyDescent="0.25">
      <c r="A109" s="80" t="s">
        <v>161</v>
      </c>
      <c r="B109" s="50" t="s">
        <v>162</v>
      </c>
      <c r="C109" s="38">
        <f>SUM(C110,C111)</f>
        <v>8400</v>
      </c>
      <c r="D109" s="38">
        <f t="shared" ref="D109:O109" si="22">SUM(D110,D111)</f>
        <v>0</v>
      </c>
      <c r="E109" s="38">
        <f t="shared" si="22"/>
        <v>0</v>
      </c>
      <c r="F109" s="38">
        <f t="shared" si="22"/>
        <v>289250</v>
      </c>
      <c r="G109" s="38">
        <f t="shared" si="22"/>
        <v>198910</v>
      </c>
      <c r="H109" s="38">
        <f t="shared" si="22"/>
        <v>0</v>
      </c>
      <c r="I109" s="38">
        <f t="shared" si="22"/>
        <v>0</v>
      </c>
      <c r="J109" s="38">
        <f t="shared" si="22"/>
        <v>0</v>
      </c>
      <c r="K109" s="38">
        <f t="shared" si="22"/>
        <v>0</v>
      </c>
      <c r="L109" s="38">
        <f t="shared" si="22"/>
        <v>5500</v>
      </c>
      <c r="M109" s="38">
        <f t="shared" si="22"/>
        <v>0</v>
      </c>
      <c r="N109" s="38">
        <f t="shared" si="22"/>
        <v>0</v>
      </c>
      <c r="O109" s="38">
        <f t="shared" si="22"/>
        <v>303150</v>
      </c>
      <c r="P109" s="87"/>
      <c r="Q109" s="57"/>
      <c r="R109" s="57"/>
    </row>
    <row r="110" spans="1:22" s="7" customFormat="1" ht="46.5" customHeight="1" x14ac:dyDescent="0.25">
      <c r="A110" s="44" t="s">
        <v>81</v>
      </c>
      <c r="B110" s="105" t="s">
        <v>391</v>
      </c>
      <c r="C110" s="29">
        <f>7900+500</f>
        <v>8400</v>
      </c>
      <c r="D110" s="29"/>
      <c r="E110" s="29"/>
      <c r="F110" s="29">
        <v>219120</v>
      </c>
      <c r="G110" s="29">
        <v>172330</v>
      </c>
      <c r="H110" s="29"/>
      <c r="I110" s="29"/>
      <c r="J110" s="29"/>
      <c r="K110" s="29"/>
      <c r="L110" s="29">
        <v>5500</v>
      </c>
      <c r="M110" s="29"/>
      <c r="N110" s="29"/>
      <c r="O110" s="27">
        <f t="shared" si="19"/>
        <v>233020</v>
      </c>
      <c r="P110" s="58"/>
      <c r="Q110" s="58"/>
      <c r="R110" s="58"/>
      <c r="S110" s="4"/>
      <c r="T110" s="4"/>
      <c r="U110" s="4"/>
      <c r="V110" s="4"/>
    </row>
    <row r="111" spans="1:22" s="7" customFormat="1" ht="31.5" customHeight="1" x14ac:dyDescent="0.25">
      <c r="A111" s="44" t="s">
        <v>152</v>
      </c>
      <c r="B111" s="79" t="s">
        <v>360</v>
      </c>
      <c r="C111" s="37"/>
      <c r="D111" s="38"/>
      <c r="E111" s="38"/>
      <c r="F111" s="37">
        <v>70130</v>
      </c>
      <c r="G111" s="37">
        <f>43160-16580</f>
        <v>26580</v>
      </c>
      <c r="H111" s="38"/>
      <c r="I111" s="38"/>
      <c r="J111" s="38"/>
      <c r="K111" s="38"/>
      <c r="L111" s="37"/>
      <c r="M111" s="38"/>
      <c r="N111" s="38"/>
      <c r="O111" s="27">
        <f>C111+F111+I111+L111</f>
        <v>70130</v>
      </c>
      <c r="P111" s="58"/>
      <c r="Q111" s="58"/>
      <c r="R111" s="58"/>
      <c r="S111" s="4"/>
      <c r="T111" s="4"/>
      <c r="U111" s="4"/>
      <c r="V111" s="4"/>
    </row>
    <row r="112" spans="1:22" s="1" customFormat="1" ht="15.75" customHeight="1" x14ac:dyDescent="0.3">
      <c r="A112" s="46"/>
      <c r="B112" s="136" t="s">
        <v>267</v>
      </c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85"/>
      <c r="Q112" s="17"/>
      <c r="R112" s="17"/>
    </row>
    <row r="113" spans="1:18" s="7" customFormat="1" ht="15.75" customHeight="1" x14ac:dyDescent="0.25">
      <c r="A113" s="29"/>
      <c r="B113" s="42" t="s">
        <v>28</v>
      </c>
      <c r="C113" s="38">
        <f t="shared" ref="C113:N113" si="23">SUM(C114,C115,C116,C117,C118,C119,C120,C121,C125,C138)</f>
        <v>3985591</v>
      </c>
      <c r="D113" s="38">
        <f t="shared" si="23"/>
        <v>3021215</v>
      </c>
      <c r="E113" s="38">
        <f t="shared" si="23"/>
        <v>0</v>
      </c>
      <c r="F113" s="38">
        <f t="shared" si="23"/>
        <v>50310</v>
      </c>
      <c r="G113" s="38">
        <f t="shared" si="23"/>
        <v>0</v>
      </c>
      <c r="H113" s="38">
        <f t="shared" si="23"/>
        <v>0</v>
      </c>
      <c r="I113" s="38">
        <f t="shared" si="23"/>
        <v>0</v>
      </c>
      <c r="J113" s="38">
        <f t="shared" si="23"/>
        <v>0</v>
      </c>
      <c r="K113" s="38">
        <f t="shared" si="23"/>
        <v>0</v>
      </c>
      <c r="L113" s="38">
        <f t="shared" si="23"/>
        <v>121126</v>
      </c>
      <c r="M113" s="38">
        <f t="shared" si="23"/>
        <v>0</v>
      </c>
      <c r="N113" s="38">
        <f t="shared" si="23"/>
        <v>0</v>
      </c>
      <c r="O113" s="38">
        <f>C113+F113+I113+L113</f>
        <v>4157027</v>
      </c>
      <c r="P113" s="87"/>
      <c r="Q113" s="58"/>
      <c r="R113" s="58">
        <f>O113+Q113</f>
        <v>4157027</v>
      </c>
    </row>
    <row r="114" spans="1:18" s="4" customFormat="1" ht="15.75" customHeight="1" x14ac:dyDescent="0.25">
      <c r="A114" s="27" t="s">
        <v>61</v>
      </c>
      <c r="B114" s="50" t="s">
        <v>15</v>
      </c>
      <c r="C114" s="123">
        <f>948500+52867+8000</f>
        <v>1009367</v>
      </c>
      <c r="D114" s="27">
        <f>827500+52111</f>
        <v>879611</v>
      </c>
      <c r="E114" s="27"/>
      <c r="F114" s="27">
        <v>32164</v>
      </c>
      <c r="G114" s="27"/>
      <c r="H114" s="27"/>
      <c r="I114" s="27"/>
      <c r="J114" s="27"/>
      <c r="K114" s="27"/>
      <c r="L114" s="27">
        <f>2000+900+1000+2000</f>
        <v>5900</v>
      </c>
      <c r="M114" s="27"/>
      <c r="N114" s="27"/>
      <c r="O114" s="27">
        <f>C114+F114+I114+L114</f>
        <v>1047431</v>
      </c>
      <c r="P114" s="58"/>
      <c r="Q114" s="57"/>
      <c r="R114" s="57"/>
    </row>
    <row r="115" spans="1:18" s="4" customFormat="1" ht="15.75" customHeight="1" x14ac:dyDescent="0.25">
      <c r="A115" s="27" t="s">
        <v>91</v>
      </c>
      <c r="B115" s="42" t="s">
        <v>16</v>
      </c>
      <c r="C115" s="123">
        <f>278100+10649+15600</f>
        <v>304349</v>
      </c>
      <c r="D115" s="27">
        <f>236000+10497</f>
        <v>246497</v>
      </c>
      <c r="E115" s="27"/>
      <c r="F115" s="27"/>
      <c r="G115" s="27"/>
      <c r="H115" s="27"/>
      <c r="I115" s="27"/>
      <c r="J115" s="27"/>
      <c r="K115" s="27"/>
      <c r="L115" s="27">
        <f>15070+8000</f>
        <v>23070</v>
      </c>
      <c r="M115" s="27"/>
      <c r="N115" s="27"/>
      <c r="O115" s="27">
        <f t="shared" ref="O115:O141" si="24">C115+F115+I115+L115</f>
        <v>327419</v>
      </c>
      <c r="P115" s="58"/>
      <c r="Q115" s="57"/>
      <c r="R115" s="57"/>
    </row>
    <row r="116" spans="1:18" s="9" customFormat="1" ht="15.75" customHeight="1" x14ac:dyDescent="0.25">
      <c r="A116" s="27" t="s">
        <v>92</v>
      </c>
      <c r="B116" s="42" t="s">
        <v>17</v>
      </c>
      <c r="C116" s="123">
        <f>905400+37273+12170+8000</f>
        <v>962843</v>
      </c>
      <c r="D116" s="27">
        <f>786000+36740</f>
        <v>822740</v>
      </c>
      <c r="E116" s="27"/>
      <c r="F116" s="27"/>
      <c r="G116" s="27"/>
      <c r="H116" s="27"/>
      <c r="I116" s="27"/>
      <c r="J116" s="27"/>
      <c r="K116" s="27"/>
      <c r="L116" s="123">
        <f>12000+18000+13000+3000+8000</f>
        <v>54000</v>
      </c>
      <c r="M116" s="27"/>
      <c r="N116" s="27"/>
      <c r="O116" s="27">
        <f t="shared" si="24"/>
        <v>1016843</v>
      </c>
      <c r="P116" s="58"/>
      <c r="Q116" s="58"/>
      <c r="R116" s="58"/>
    </row>
    <row r="117" spans="1:18" s="9" customFormat="1" ht="15.75" customHeight="1" x14ac:dyDescent="0.25">
      <c r="A117" s="27" t="s">
        <v>93</v>
      </c>
      <c r="B117" s="42" t="s">
        <v>121</v>
      </c>
      <c r="C117" s="123">
        <f>165300+9128+3000</f>
        <v>177428</v>
      </c>
      <c r="D117" s="27">
        <f>137000+8998</f>
        <v>145998</v>
      </c>
      <c r="E117" s="27"/>
      <c r="F117" s="27"/>
      <c r="G117" s="27"/>
      <c r="H117" s="27"/>
      <c r="I117" s="27"/>
      <c r="J117" s="27"/>
      <c r="K117" s="27"/>
      <c r="L117" s="27">
        <f>200+500</f>
        <v>700</v>
      </c>
      <c r="M117" s="27"/>
      <c r="N117" s="27"/>
      <c r="O117" s="27">
        <f t="shared" si="24"/>
        <v>178128</v>
      </c>
      <c r="P117" s="58"/>
      <c r="Q117" s="58"/>
      <c r="R117" s="58"/>
    </row>
    <row r="118" spans="1:18" s="9" customFormat="1" ht="15.75" customHeight="1" x14ac:dyDescent="0.25">
      <c r="A118" s="27" t="s">
        <v>94</v>
      </c>
      <c r="B118" s="42" t="s">
        <v>122</v>
      </c>
      <c r="C118" s="27">
        <f>106600+4564</f>
        <v>111164</v>
      </c>
      <c r="D118" s="27">
        <f>83000+4499</f>
        <v>87499</v>
      </c>
      <c r="E118" s="27"/>
      <c r="F118" s="27"/>
      <c r="G118" s="27"/>
      <c r="H118" s="27"/>
      <c r="I118" s="27"/>
      <c r="J118" s="27"/>
      <c r="K118" s="27"/>
      <c r="L118" s="27">
        <f>700</f>
        <v>700</v>
      </c>
      <c r="M118" s="27"/>
      <c r="N118" s="27"/>
      <c r="O118" s="27">
        <f t="shared" si="24"/>
        <v>111864</v>
      </c>
      <c r="P118" s="58"/>
      <c r="Q118" s="58"/>
      <c r="R118" s="58"/>
    </row>
    <row r="119" spans="1:18" s="9" customFormat="1" ht="15.75" customHeight="1" x14ac:dyDescent="0.25">
      <c r="A119" s="27" t="s">
        <v>95</v>
      </c>
      <c r="B119" s="42" t="s">
        <v>124</v>
      </c>
      <c r="C119" s="27">
        <f>163100+7607</f>
        <v>170707</v>
      </c>
      <c r="D119" s="27">
        <f>128000+7498</f>
        <v>135498</v>
      </c>
      <c r="E119" s="27"/>
      <c r="F119" s="27"/>
      <c r="G119" s="27"/>
      <c r="H119" s="27"/>
      <c r="I119" s="27"/>
      <c r="J119" s="27"/>
      <c r="K119" s="27"/>
      <c r="L119" s="27">
        <v>9000</v>
      </c>
      <c r="M119" s="27"/>
      <c r="N119" s="27"/>
      <c r="O119" s="27">
        <f t="shared" si="24"/>
        <v>179707</v>
      </c>
      <c r="P119" s="58"/>
      <c r="Q119" s="58"/>
      <c r="R119" s="58"/>
    </row>
    <row r="120" spans="1:18" s="9" customFormat="1" ht="15.75" customHeight="1" x14ac:dyDescent="0.25">
      <c r="A120" s="27" t="s">
        <v>125</v>
      </c>
      <c r="B120" s="42" t="s">
        <v>123</v>
      </c>
      <c r="C120" s="27">
        <f>156600+9508</f>
        <v>166108</v>
      </c>
      <c r="D120" s="27">
        <f>140000+9372</f>
        <v>149372</v>
      </c>
      <c r="E120" s="27"/>
      <c r="F120" s="27"/>
      <c r="G120" s="27"/>
      <c r="H120" s="27"/>
      <c r="I120" s="27"/>
      <c r="J120" s="27"/>
      <c r="K120" s="27"/>
      <c r="L120" s="27">
        <v>2336</v>
      </c>
      <c r="M120" s="27"/>
      <c r="N120" s="27"/>
      <c r="O120" s="27">
        <f t="shared" si="24"/>
        <v>168444</v>
      </c>
      <c r="P120" s="58"/>
      <c r="Q120" s="58"/>
      <c r="R120" s="58"/>
    </row>
    <row r="121" spans="1:18" s="2" customFormat="1" ht="17.25" customHeight="1" x14ac:dyDescent="0.3">
      <c r="A121" s="27" t="s">
        <v>126</v>
      </c>
      <c r="B121" s="50" t="s">
        <v>361</v>
      </c>
      <c r="C121" s="27">
        <f>SUM(C122:C124)</f>
        <v>666800</v>
      </c>
      <c r="D121" s="27">
        <f t="shared" ref="D121:I121" si="25">SUM(D122:D124)</f>
        <v>554000</v>
      </c>
      <c r="E121" s="27">
        <f t="shared" si="25"/>
        <v>0</v>
      </c>
      <c r="F121" s="27"/>
      <c r="G121" s="27"/>
      <c r="H121" s="27">
        <f t="shared" si="25"/>
        <v>0</v>
      </c>
      <c r="I121" s="27">
        <f t="shared" si="25"/>
        <v>0</v>
      </c>
      <c r="J121" s="27"/>
      <c r="K121" s="27">
        <f>SUM(K122:K124)</f>
        <v>0</v>
      </c>
      <c r="L121" s="27">
        <f>SUM(L122:L124)</f>
        <v>25420</v>
      </c>
      <c r="M121" s="27">
        <f>SUM(M122:M124)</f>
        <v>0</v>
      </c>
      <c r="N121" s="27">
        <f>SUM(N122:N124)</f>
        <v>0</v>
      </c>
      <c r="O121" s="27">
        <f t="shared" si="24"/>
        <v>692220</v>
      </c>
      <c r="P121" s="58"/>
      <c r="Q121" s="17"/>
      <c r="R121" s="17"/>
    </row>
    <row r="122" spans="1:18" s="2" customFormat="1" ht="15.75" customHeight="1" x14ac:dyDescent="0.3">
      <c r="A122" s="44" t="s">
        <v>274</v>
      </c>
      <c r="B122" s="33" t="s">
        <v>362</v>
      </c>
      <c r="C122" s="29">
        <v>591800</v>
      </c>
      <c r="D122" s="29">
        <v>554000</v>
      </c>
      <c r="E122" s="29"/>
      <c r="F122" s="27"/>
      <c r="G122" s="29"/>
      <c r="H122" s="29"/>
      <c r="I122" s="27"/>
      <c r="J122" s="27"/>
      <c r="K122" s="29"/>
      <c r="L122" s="29">
        <f>1300+300+23820</f>
        <v>25420</v>
      </c>
      <c r="M122" s="29"/>
      <c r="N122" s="29"/>
      <c r="O122" s="27">
        <f t="shared" si="24"/>
        <v>617220</v>
      </c>
      <c r="P122" s="58"/>
      <c r="Q122" s="17"/>
      <c r="R122" s="17"/>
    </row>
    <row r="123" spans="1:18" s="2" customFormat="1" ht="15.75" customHeight="1" x14ac:dyDescent="0.3">
      <c r="A123" s="44" t="s">
        <v>275</v>
      </c>
      <c r="B123" s="33" t="s">
        <v>308</v>
      </c>
      <c r="C123" s="37">
        <v>25000</v>
      </c>
      <c r="D123" s="29"/>
      <c r="E123" s="29"/>
      <c r="F123" s="38"/>
      <c r="G123" s="29"/>
      <c r="H123" s="29"/>
      <c r="I123" s="38"/>
      <c r="J123" s="38"/>
      <c r="K123" s="29"/>
      <c r="L123" s="38"/>
      <c r="M123" s="29"/>
      <c r="N123" s="29"/>
      <c r="O123" s="27">
        <f t="shared" si="24"/>
        <v>25000</v>
      </c>
      <c r="P123" s="58"/>
      <c r="Q123" s="17"/>
      <c r="R123" s="17"/>
    </row>
    <row r="124" spans="1:18" s="2" customFormat="1" ht="15.75" customHeight="1" x14ac:dyDescent="0.3">
      <c r="A124" s="44" t="s">
        <v>276</v>
      </c>
      <c r="B124" s="33" t="s">
        <v>31</v>
      </c>
      <c r="C124" s="37">
        <v>50000</v>
      </c>
      <c r="D124" s="29"/>
      <c r="E124" s="29"/>
      <c r="F124" s="38"/>
      <c r="G124" s="29"/>
      <c r="H124" s="29"/>
      <c r="I124" s="38"/>
      <c r="J124" s="38"/>
      <c r="K124" s="29"/>
      <c r="L124" s="38"/>
      <c r="M124" s="29"/>
      <c r="N124" s="29"/>
      <c r="O124" s="27">
        <f t="shared" si="24"/>
        <v>50000</v>
      </c>
      <c r="P124" s="58"/>
      <c r="Q124" s="17"/>
      <c r="R124" s="17"/>
    </row>
    <row r="125" spans="1:18" s="7" customFormat="1" ht="15.75" customHeight="1" x14ac:dyDescent="0.25">
      <c r="A125" s="27" t="s">
        <v>127</v>
      </c>
      <c r="B125" s="42" t="s">
        <v>23</v>
      </c>
      <c r="C125" s="38">
        <f t="shared" ref="C125:N125" si="26">SUM(C126:C137)</f>
        <v>269825</v>
      </c>
      <c r="D125" s="38">
        <f t="shared" si="26"/>
        <v>0</v>
      </c>
      <c r="E125" s="38">
        <f t="shared" si="26"/>
        <v>0</v>
      </c>
      <c r="F125" s="38">
        <f t="shared" si="26"/>
        <v>18146</v>
      </c>
      <c r="G125" s="38">
        <f t="shared" si="26"/>
        <v>0</v>
      </c>
      <c r="H125" s="38">
        <f t="shared" si="26"/>
        <v>0</v>
      </c>
      <c r="I125" s="38">
        <f t="shared" si="26"/>
        <v>0</v>
      </c>
      <c r="J125" s="38">
        <f t="shared" si="26"/>
        <v>0</v>
      </c>
      <c r="K125" s="38">
        <f t="shared" si="26"/>
        <v>0</v>
      </c>
      <c r="L125" s="38">
        <f t="shared" si="26"/>
        <v>0</v>
      </c>
      <c r="M125" s="38">
        <f t="shared" si="26"/>
        <v>0</v>
      </c>
      <c r="N125" s="38">
        <f t="shared" si="26"/>
        <v>0</v>
      </c>
      <c r="O125" s="27">
        <f>C125+F125+I125+L125</f>
        <v>287971</v>
      </c>
      <c r="P125" s="58"/>
      <c r="Q125" s="58"/>
      <c r="R125" s="58"/>
    </row>
    <row r="126" spans="1:18" s="11" customFormat="1" ht="15.75" customHeight="1" x14ac:dyDescent="0.25">
      <c r="A126" s="44" t="s">
        <v>277</v>
      </c>
      <c r="B126" s="45" t="s">
        <v>206</v>
      </c>
      <c r="C126" s="37">
        <v>15000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7">
        <f t="shared" si="24"/>
        <v>15000</v>
      </c>
      <c r="P126" s="58"/>
      <c r="Q126" s="58"/>
      <c r="R126" s="58"/>
    </row>
    <row r="127" spans="1:18" s="11" customFormat="1" ht="15.75" customHeight="1" x14ac:dyDescent="0.25">
      <c r="A127" s="44" t="s">
        <v>278</v>
      </c>
      <c r="B127" s="45" t="s">
        <v>419</v>
      </c>
      <c r="C127" s="37">
        <v>1000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7">
        <f t="shared" si="24"/>
        <v>1000</v>
      </c>
      <c r="P127" s="58"/>
      <c r="Q127" s="58"/>
      <c r="R127" s="58"/>
    </row>
    <row r="128" spans="1:18" s="11" customFormat="1" ht="29.25" customHeight="1" x14ac:dyDescent="0.25">
      <c r="A128" s="44" t="s">
        <v>279</v>
      </c>
      <c r="B128" s="45" t="s">
        <v>420</v>
      </c>
      <c r="C128" s="121">
        <f>50000-15000+1725</f>
        <v>36725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36725</v>
      </c>
      <c r="P128" s="58"/>
      <c r="Q128" s="58"/>
      <c r="R128" s="58"/>
    </row>
    <row r="129" spans="1:18" s="11" customFormat="1" ht="15.75" customHeight="1" x14ac:dyDescent="0.25">
      <c r="A129" s="28" t="s">
        <v>280</v>
      </c>
      <c r="B129" s="45" t="s">
        <v>309</v>
      </c>
      <c r="C129" s="121">
        <f>12000+12000</f>
        <v>24000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24000</v>
      </c>
      <c r="P129" s="58"/>
      <c r="Q129" s="58"/>
      <c r="R129" s="58"/>
    </row>
    <row r="130" spans="1:18" s="11" customFormat="1" ht="15.75" customHeight="1" x14ac:dyDescent="0.25">
      <c r="A130" s="28" t="s">
        <v>281</v>
      </c>
      <c r="B130" s="45" t="s">
        <v>458</v>
      </c>
      <c r="C130" s="37">
        <v>30000</v>
      </c>
      <c r="D130" s="37"/>
      <c r="E130" s="37"/>
      <c r="F130" s="37">
        <v>18146</v>
      </c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48146</v>
      </c>
      <c r="P130" s="58"/>
      <c r="Q130" s="58"/>
      <c r="R130" s="58"/>
    </row>
    <row r="131" spans="1:18" s="11" customFormat="1" ht="15.75" customHeight="1" x14ac:dyDescent="0.25">
      <c r="A131" s="28" t="s">
        <v>282</v>
      </c>
      <c r="B131" s="45" t="s">
        <v>156</v>
      </c>
      <c r="C131" s="37">
        <v>6000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6000</v>
      </c>
      <c r="P131" s="58"/>
      <c r="Q131" s="58"/>
      <c r="R131" s="58"/>
    </row>
    <row r="132" spans="1:18" s="7" customFormat="1" ht="15.75" customHeight="1" x14ac:dyDescent="0.25">
      <c r="A132" s="44" t="s">
        <v>283</v>
      </c>
      <c r="B132" s="45" t="s">
        <v>285</v>
      </c>
      <c r="C132" s="29">
        <v>9000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7">
        <f t="shared" si="24"/>
        <v>9000</v>
      </c>
      <c r="P132" s="58"/>
      <c r="Q132" s="58"/>
      <c r="R132" s="58"/>
    </row>
    <row r="133" spans="1:18" s="7" customFormat="1" ht="15.75" customHeight="1" x14ac:dyDescent="0.25">
      <c r="A133" s="44" t="s">
        <v>284</v>
      </c>
      <c r="B133" s="45" t="s">
        <v>363</v>
      </c>
      <c r="C133" s="29">
        <v>25000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7">
        <f t="shared" si="24"/>
        <v>25000</v>
      </c>
      <c r="P133" s="58"/>
      <c r="Q133" s="58"/>
      <c r="R133" s="58"/>
    </row>
    <row r="134" spans="1:18" s="7" customFormat="1" ht="30.75" customHeight="1" x14ac:dyDescent="0.25">
      <c r="A134" s="44" t="s">
        <v>286</v>
      </c>
      <c r="B134" s="45" t="s">
        <v>421</v>
      </c>
      <c r="C134" s="29">
        <v>100000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100000</v>
      </c>
      <c r="P134" s="58"/>
      <c r="Q134" s="58"/>
      <c r="R134" s="58"/>
    </row>
    <row r="135" spans="1:18" s="11" customFormat="1" ht="15.75" customHeight="1" x14ac:dyDescent="0.25">
      <c r="A135" s="43" t="s">
        <v>364</v>
      </c>
      <c r="B135" s="45" t="s">
        <v>287</v>
      </c>
      <c r="C135" s="37">
        <v>9000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7">
        <f t="shared" si="24"/>
        <v>9000</v>
      </c>
      <c r="P135" s="58"/>
      <c r="Q135" s="58"/>
      <c r="R135" s="58"/>
    </row>
    <row r="136" spans="1:18" s="11" customFormat="1" ht="29.25" customHeight="1" x14ac:dyDescent="0.25">
      <c r="A136" s="43" t="s">
        <v>288</v>
      </c>
      <c r="B136" s="45" t="s">
        <v>310</v>
      </c>
      <c r="C136" s="37">
        <v>11100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7">
        <f t="shared" si="24"/>
        <v>11100</v>
      </c>
      <c r="P136" s="58"/>
      <c r="Q136" s="58"/>
      <c r="R136" s="58"/>
    </row>
    <row r="137" spans="1:18" s="11" customFormat="1" ht="15.75" customHeight="1" x14ac:dyDescent="0.25">
      <c r="A137" s="43" t="s">
        <v>289</v>
      </c>
      <c r="B137" s="45" t="s">
        <v>422</v>
      </c>
      <c r="C137" s="37">
        <v>3000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3000</v>
      </c>
      <c r="P137" s="58"/>
      <c r="Q137" s="58"/>
      <c r="R137" s="58"/>
    </row>
    <row r="138" spans="1:18" s="9" customFormat="1" ht="17.25" customHeight="1" x14ac:dyDescent="0.25">
      <c r="A138" s="27" t="s">
        <v>128</v>
      </c>
      <c r="B138" s="42" t="s">
        <v>24</v>
      </c>
      <c r="C138" s="27">
        <f t="shared" ref="C138:N138" si="27">SUM(C139:C142)</f>
        <v>147000</v>
      </c>
      <c r="D138" s="27">
        <f t="shared" si="27"/>
        <v>0</v>
      </c>
      <c r="E138" s="27">
        <f t="shared" si="27"/>
        <v>0</v>
      </c>
      <c r="F138" s="27">
        <f t="shared" si="27"/>
        <v>0</v>
      </c>
      <c r="G138" s="27">
        <f t="shared" si="27"/>
        <v>0</v>
      </c>
      <c r="H138" s="27">
        <f t="shared" si="27"/>
        <v>0</v>
      </c>
      <c r="I138" s="27">
        <f t="shared" si="27"/>
        <v>0</v>
      </c>
      <c r="J138" s="27">
        <f t="shared" si="27"/>
        <v>0</v>
      </c>
      <c r="K138" s="27">
        <f t="shared" si="27"/>
        <v>0</v>
      </c>
      <c r="L138" s="27">
        <f t="shared" si="27"/>
        <v>0</v>
      </c>
      <c r="M138" s="27">
        <f t="shared" si="27"/>
        <v>0</v>
      </c>
      <c r="N138" s="27">
        <f t="shared" si="27"/>
        <v>0</v>
      </c>
      <c r="O138" s="27">
        <f t="shared" si="24"/>
        <v>147000</v>
      </c>
      <c r="P138" s="58"/>
      <c r="Q138" s="58"/>
      <c r="R138" s="58"/>
    </row>
    <row r="139" spans="1:18" s="7" customFormat="1" ht="30.75" customHeight="1" x14ac:dyDescent="0.25">
      <c r="A139" s="30" t="s">
        <v>167</v>
      </c>
      <c r="B139" s="33" t="s">
        <v>423</v>
      </c>
      <c r="C139" s="29">
        <v>30000</v>
      </c>
      <c r="D139" s="31"/>
      <c r="E139" s="29"/>
      <c r="F139" s="31"/>
      <c r="G139" s="31"/>
      <c r="H139" s="31"/>
      <c r="I139" s="31"/>
      <c r="J139" s="31"/>
      <c r="K139" s="31"/>
      <c r="L139" s="31"/>
      <c r="M139" s="31"/>
      <c r="N139" s="31"/>
      <c r="O139" s="27">
        <f t="shared" si="24"/>
        <v>30000</v>
      </c>
      <c r="P139" s="58"/>
      <c r="Q139" s="58"/>
      <c r="R139" s="58"/>
    </row>
    <row r="140" spans="1:18" s="7" customFormat="1" ht="15.75" customHeight="1" x14ac:dyDescent="0.25">
      <c r="A140" s="30" t="s">
        <v>365</v>
      </c>
      <c r="B140" s="33" t="s">
        <v>459</v>
      </c>
      <c r="C140" s="29">
        <v>15000</v>
      </c>
      <c r="D140" s="31"/>
      <c r="E140" s="29"/>
      <c r="F140" s="31"/>
      <c r="G140" s="31"/>
      <c r="H140" s="31"/>
      <c r="I140" s="31"/>
      <c r="J140" s="31"/>
      <c r="K140" s="31"/>
      <c r="L140" s="31"/>
      <c r="M140" s="31"/>
      <c r="N140" s="31"/>
      <c r="O140" s="27">
        <f t="shared" si="24"/>
        <v>15000</v>
      </c>
      <c r="P140" s="58"/>
      <c r="Q140" s="58"/>
      <c r="R140" s="58"/>
    </row>
    <row r="141" spans="1:18" s="7" customFormat="1" ht="15.75" customHeight="1" x14ac:dyDescent="0.25">
      <c r="A141" s="30" t="s">
        <v>366</v>
      </c>
      <c r="B141" s="33" t="s">
        <v>424</v>
      </c>
      <c r="C141" s="29">
        <v>12000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12000</v>
      </c>
      <c r="P141" s="58"/>
      <c r="Q141" s="58"/>
      <c r="R141" s="58"/>
    </row>
    <row r="142" spans="1:18" s="11" customFormat="1" ht="45.75" customHeight="1" x14ac:dyDescent="0.25">
      <c r="A142" s="43" t="s">
        <v>460</v>
      </c>
      <c r="B142" s="45" t="s">
        <v>461</v>
      </c>
      <c r="C142" s="29">
        <f>85000+5000</f>
        <v>90000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7">
        <f>C142+F142+I142+L142</f>
        <v>90000</v>
      </c>
      <c r="P142" s="58"/>
      <c r="Q142" s="58"/>
      <c r="R142" s="58"/>
    </row>
    <row r="143" spans="1:18" s="1" customFormat="1" ht="18" customHeight="1" x14ac:dyDescent="0.3">
      <c r="A143" s="46"/>
      <c r="B143" s="137" t="s">
        <v>204</v>
      </c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9"/>
      <c r="P143" s="85"/>
      <c r="Q143" s="17"/>
      <c r="R143" s="17"/>
    </row>
    <row r="144" spans="1:18" s="7" customFormat="1" ht="15.75" customHeight="1" x14ac:dyDescent="0.25">
      <c r="A144" s="29"/>
      <c r="B144" s="42" t="s">
        <v>28</v>
      </c>
      <c r="C144" s="38">
        <f t="shared" ref="C144:H144" si="28">SUM(C145:C146,C149,C152:C154,C157:C157,C160,C163,C166,C169:C169,C172,C175,C178:C180,C181,C194)</f>
        <v>9351980</v>
      </c>
      <c r="D144" s="38">
        <f t="shared" si="28"/>
        <v>6609651</v>
      </c>
      <c r="E144" s="38">
        <f t="shared" si="28"/>
        <v>0</v>
      </c>
      <c r="F144" s="38">
        <f>SUM(F145:F146,F149,F152:F154,F157:F157,F160,F163,F166,F169:F169,F172,F175,F178:F180,F181,F194)</f>
        <v>943054</v>
      </c>
      <c r="G144" s="38">
        <f t="shared" si="28"/>
        <v>102483</v>
      </c>
      <c r="H144" s="38">
        <f t="shared" si="28"/>
        <v>195370</v>
      </c>
      <c r="I144" s="38">
        <f>SUM(I145:I146,I149,I152:I154,I157:I157,I160,I163,I166,I169:I169,I172,I175,I178:I180,I181)</f>
        <v>10828900</v>
      </c>
      <c r="J144" s="38">
        <f>SUM(J145:J146,J149,J152:J154,J157:J157,J160,J163,J166,J169:J169,J172,J175,J178:J180,J181)</f>
        <v>10193706</v>
      </c>
      <c r="K144" s="38">
        <f>SUM(K145:K146,K149,K152:K154,K157:K157,K160,K163,K166,K169:K169,K172,K175,K178:K180,K181,K194)</f>
        <v>0</v>
      </c>
      <c r="L144" s="38">
        <f>SUM(L145:L146,L149,L152:L154,L157:L157,L160,L163,L166,L169:L169,L172,L175,L178:L180,L181,L194)</f>
        <v>606560</v>
      </c>
      <c r="M144" s="38">
        <f>SUM(M145:M146,M149,M152:M154,M157:M157,M160,M163,M166,M169:M169,M172,M175,M178:M180,M181,M194)</f>
        <v>24670</v>
      </c>
      <c r="N144" s="38">
        <f>SUM(N145:N146,N149,N152:N154,N157:N157,N160,N163,N166,N169:N169,N172,N175,N178:N180,N181,N194)</f>
        <v>0</v>
      </c>
      <c r="O144" s="27">
        <f>C144+F144+I144+L144</f>
        <v>21730494</v>
      </c>
      <c r="P144" s="58"/>
      <c r="Q144" s="58"/>
      <c r="R144" s="58">
        <f>O144+Q144</f>
        <v>21730494</v>
      </c>
    </row>
    <row r="145" spans="1:18" s="10" customFormat="1" ht="15.75" customHeight="1" x14ac:dyDescent="0.3">
      <c r="A145" s="38" t="s">
        <v>129</v>
      </c>
      <c r="B145" s="100" t="s">
        <v>12</v>
      </c>
      <c r="C145" s="38">
        <f>470000+1368+58438</f>
        <v>529806</v>
      </c>
      <c r="D145" s="38">
        <v>371000</v>
      </c>
      <c r="E145" s="38"/>
      <c r="F145" s="38"/>
      <c r="G145" s="38"/>
      <c r="H145" s="38"/>
      <c r="I145" s="127">
        <f>1485053+55590</f>
        <v>1540643</v>
      </c>
      <c r="J145" s="38">
        <v>1430788</v>
      </c>
      <c r="K145" s="38"/>
      <c r="L145" s="38">
        <f>4030+150+22490</f>
        <v>26670</v>
      </c>
      <c r="M145" s="38"/>
      <c r="N145" s="38"/>
      <c r="O145" s="27">
        <f t="shared" ref="O145:O199" si="29">C145+F145+I145+L145</f>
        <v>2097119</v>
      </c>
      <c r="P145" s="58"/>
      <c r="Q145" s="59"/>
      <c r="R145" s="59"/>
    </row>
    <row r="146" spans="1:18" s="10" customFormat="1" ht="15.75" customHeight="1" x14ac:dyDescent="0.3">
      <c r="A146" s="38" t="s">
        <v>130</v>
      </c>
      <c r="B146" s="50" t="s">
        <v>84</v>
      </c>
      <c r="C146" s="38">
        <f>C147+C148+20000</f>
        <v>565532</v>
      </c>
      <c r="D146" s="38">
        <f t="shared" ref="D146:K146" si="30">D147+D148</f>
        <v>394000</v>
      </c>
      <c r="E146" s="38">
        <f t="shared" si="30"/>
        <v>0</v>
      </c>
      <c r="F146" s="127">
        <f>F147+F148+519+16688</f>
        <v>32406</v>
      </c>
      <c r="G146" s="38">
        <f t="shared" si="30"/>
        <v>8528</v>
      </c>
      <c r="H146" s="38">
        <f t="shared" si="30"/>
        <v>0</v>
      </c>
      <c r="I146" s="127">
        <f>I147+I148+22402</f>
        <v>864701</v>
      </c>
      <c r="J146" s="38">
        <f>J147+J148</f>
        <v>816335</v>
      </c>
      <c r="K146" s="38">
        <f t="shared" si="30"/>
        <v>0</v>
      </c>
      <c r="L146" s="38">
        <f>L147+L148+1200</f>
        <v>20520</v>
      </c>
      <c r="M146" s="38">
        <f>M147+M148</f>
        <v>0</v>
      </c>
      <c r="N146" s="38">
        <f>N147+N148</f>
        <v>0</v>
      </c>
      <c r="O146" s="27">
        <f>C146+F146+I146+L146</f>
        <v>1483159</v>
      </c>
      <c r="P146" s="58"/>
      <c r="Q146" s="59"/>
      <c r="R146" s="59"/>
    </row>
    <row r="147" spans="1:18" s="10" customFormat="1" ht="15.75" hidden="1" customHeight="1" x14ac:dyDescent="0.3">
      <c r="A147" s="49" t="s">
        <v>367</v>
      </c>
      <c r="B147" s="33" t="s">
        <v>27</v>
      </c>
      <c r="C147" s="37">
        <f>133300</f>
        <v>133300</v>
      </c>
      <c r="D147" s="37">
        <v>129000</v>
      </c>
      <c r="E147" s="37"/>
      <c r="F147" s="37">
        <v>15199</v>
      </c>
      <c r="G147" s="37">
        <f>8528</f>
        <v>8528</v>
      </c>
      <c r="H147" s="37"/>
      <c r="I147" s="37">
        <v>66252</v>
      </c>
      <c r="J147" s="37">
        <v>63339</v>
      </c>
      <c r="K147" s="37"/>
      <c r="L147" s="37">
        <v>19320</v>
      </c>
      <c r="M147" s="37"/>
      <c r="N147" s="37"/>
      <c r="O147" s="27">
        <f>C147+F147+I147+L147</f>
        <v>234071</v>
      </c>
      <c r="P147" s="58"/>
      <c r="Q147" s="59"/>
      <c r="R147" s="59"/>
    </row>
    <row r="148" spans="1:18" s="10" customFormat="1" ht="15.75" hidden="1" customHeight="1" x14ac:dyDescent="0.3">
      <c r="A148" s="49" t="s">
        <v>368</v>
      </c>
      <c r="B148" s="33" t="s">
        <v>26</v>
      </c>
      <c r="C148" s="37">
        <f>515300-133300+5000+25232</f>
        <v>412232</v>
      </c>
      <c r="D148" s="37">
        <f>394000-129000</f>
        <v>265000</v>
      </c>
      <c r="E148" s="37"/>
      <c r="F148" s="37"/>
      <c r="G148" s="37"/>
      <c r="H148" s="37"/>
      <c r="I148" s="37">
        <v>776047</v>
      </c>
      <c r="J148" s="37">
        <v>752996</v>
      </c>
      <c r="K148" s="37"/>
      <c r="L148" s="37"/>
      <c r="M148" s="37"/>
      <c r="N148" s="37"/>
      <c r="O148" s="27">
        <f>C148+F148+I148+L148</f>
        <v>1188279</v>
      </c>
      <c r="P148" s="58"/>
      <c r="Q148" s="59"/>
      <c r="R148" s="59"/>
    </row>
    <row r="149" spans="1:18" s="10" customFormat="1" ht="15.6" x14ac:dyDescent="0.3">
      <c r="A149" s="38" t="s">
        <v>131</v>
      </c>
      <c r="B149" s="50" t="s">
        <v>569</v>
      </c>
      <c r="C149" s="38">
        <f>C150+C151</f>
        <v>873798</v>
      </c>
      <c r="D149" s="38">
        <f t="shared" ref="D149:K149" si="31">D150+D151</f>
        <v>425000</v>
      </c>
      <c r="E149" s="38">
        <f t="shared" si="31"/>
        <v>0</v>
      </c>
      <c r="F149" s="127">
        <f>F150+F151+997+11126</f>
        <v>23522</v>
      </c>
      <c r="G149" s="38">
        <f t="shared" si="31"/>
        <v>9932</v>
      </c>
      <c r="H149" s="38">
        <f t="shared" si="31"/>
        <v>0</v>
      </c>
      <c r="I149" s="127">
        <f>I150+I151+30537</f>
        <v>931395</v>
      </c>
      <c r="J149" s="38">
        <f>J150+J151</f>
        <v>737167</v>
      </c>
      <c r="K149" s="38">
        <f t="shared" si="31"/>
        <v>0</v>
      </c>
      <c r="L149" s="38">
        <f>L150+L151+4200</f>
        <v>40395</v>
      </c>
      <c r="M149" s="38">
        <f>M150+M151</f>
        <v>0</v>
      </c>
      <c r="N149" s="38">
        <f>N150+N151</f>
        <v>0</v>
      </c>
      <c r="O149" s="27">
        <f t="shared" si="29"/>
        <v>1869110</v>
      </c>
      <c r="P149" s="58"/>
      <c r="Q149" s="59"/>
      <c r="R149" s="59"/>
    </row>
    <row r="150" spans="1:18" s="10" customFormat="1" ht="15.75" hidden="1" customHeight="1" x14ac:dyDescent="0.3">
      <c r="A150" s="49" t="s">
        <v>168</v>
      </c>
      <c r="B150" s="33" t="s">
        <v>27</v>
      </c>
      <c r="C150" s="37">
        <f>140300+2708+54187</f>
        <v>197195</v>
      </c>
      <c r="D150" s="37">
        <v>136000</v>
      </c>
      <c r="E150" s="37"/>
      <c r="F150" s="37">
        <f>11399</f>
        <v>11399</v>
      </c>
      <c r="G150" s="37">
        <f>9932</f>
        <v>9932</v>
      </c>
      <c r="H150" s="37"/>
      <c r="I150" s="37">
        <f>108815+32423</f>
        <v>141238</v>
      </c>
      <c r="J150" s="37">
        <v>105696</v>
      </c>
      <c r="K150" s="37"/>
      <c r="L150" s="37">
        <f>19370+16615</f>
        <v>35985</v>
      </c>
      <c r="M150" s="37"/>
      <c r="N150" s="37"/>
      <c r="O150" s="27">
        <f t="shared" si="29"/>
        <v>385817</v>
      </c>
      <c r="P150" s="58"/>
      <c r="Q150" s="59"/>
      <c r="R150" s="59"/>
    </row>
    <row r="151" spans="1:18" s="10" customFormat="1" ht="15.75" hidden="1" customHeight="1" x14ac:dyDescent="0.3">
      <c r="A151" s="49" t="s">
        <v>169</v>
      </c>
      <c r="B151" s="33" t="s">
        <v>26</v>
      </c>
      <c r="C151" s="37">
        <f>586100-140300+5938+33808+191057</f>
        <v>676603</v>
      </c>
      <c r="D151" s="37">
        <f>425000-136000</f>
        <v>289000</v>
      </c>
      <c r="E151" s="37"/>
      <c r="F151" s="37"/>
      <c r="G151" s="37"/>
      <c r="H151" s="37"/>
      <c r="I151" s="37">
        <f>651474+108146</f>
        <v>759620</v>
      </c>
      <c r="J151" s="37">
        <v>631471</v>
      </c>
      <c r="K151" s="37"/>
      <c r="L151" s="37">
        <v>210</v>
      </c>
      <c r="M151" s="37"/>
      <c r="N151" s="37"/>
      <c r="O151" s="27">
        <f t="shared" si="29"/>
        <v>1436433</v>
      </c>
      <c r="P151" s="58"/>
      <c r="Q151" s="59"/>
      <c r="R151" s="59"/>
    </row>
    <row r="152" spans="1:18" s="10" customFormat="1" ht="15.75" customHeight="1" x14ac:dyDescent="0.3">
      <c r="A152" s="38" t="s">
        <v>132</v>
      </c>
      <c r="B152" s="50" t="s">
        <v>290</v>
      </c>
      <c r="C152" s="38">
        <f>503600+20721+39248+718</f>
        <v>564287</v>
      </c>
      <c r="D152" s="38">
        <v>385000</v>
      </c>
      <c r="E152" s="38"/>
      <c r="F152" s="38">
        <f>1434</f>
        <v>1434</v>
      </c>
      <c r="G152" s="38"/>
      <c r="H152" s="38"/>
      <c r="I152" s="127">
        <f>1713935+75957</f>
        <v>1789892</v>
      </c>
      <c r="J152" s="38">
        <v>1645255</v>
      </c>
      <c r="K152" s="38"/>
      <c r="L152" s="38">
        <f>2700+22000</f>
        <v>24700</v>
      </c>
      <c r="M152" s="38"/>
      <c r="N152" s="38"/>
      <c r="O152" s="27">
        <f>C152+F152+I152+L152</f>
        <v>2380313</v>
      </c>
      <c r="P152" s="58"/>
      <c r="Q152" s="59"/>
      <c r="R152" s="59"/>
    </row>
    <row r="153" spans="1:18" s="10" customFormat="1" ht="15.75" customHeight="1" x14ac:dyDescent="0.3">
      <c r="A153" s="38" t="s">
        <v>133</v>
      </c>
      <c r="B153" s="50" t="s">
        <v>568</v>
      </c>
      <c r="C153" s="38">
        <f>471200+6363+48638+511+303116</f>
        <v>829828</v>
      </c>
      <c r="D153" s="38">
        <v>363000</v>
      </c>
      <c r="E153" s="38"/>
      <c r="F153" s="127">
        <f>1022+732+2782</f>
        <v>4536</v>
      </c>
      <c r="G153" s="38"/>
      <c r="H153" s="38"/>
      <c r="I153" s="127">
        <f>838749+231911+158710</f>
        <v>1229370</v>
      </c>
      <c r="J153" s="38">
        <v>807070</v>
      </c>
      <c r="K153" s="38"/>
      <c r="L153" s="38">
        <f>4000+4456+8000</f>
        <v>16456</v>
      </c>
      <c r="M153" s="38"/>
      <c r="N153" s="38"/>
      <c r="O153" s="27">
        <f>C153+F153+I153+L153</f>
        <v>2080190</v>
      </c>
      <c r="P153" s="58"/>
      <c r="Q153" s="59"/>
      <c r="R153" s="59"/>
    </row>
    <row r="154" spans="1:18" s="10" customFormat="1" ht="15.6" x14ac:dyDescent="0.3">
      <c r="A154" s="38" t="s">
        <v>134</v>
      </c>
      <c r="B154" s="50" t="s">
        <v>570</v>
      </c>
      <c r="C154" s="38">
        <f>C155+C156</f>
        <v>267868</v>
      </c>
      <c r="D154" s="38">
        <f t="shared" ref="D154:N154" si="32">D155+D156</f>
        <v>284000</v>
      </c>
      <c r="E154" s="38">
        <f t="shared" si="32"/>
        <v>0</v>
      </c>
      <c r="F154" s="38">
        <f t="shared" si="32"/>
        <v>0</v>
      </c>
      <c r="G154" s="38">
        <f t="shared" si="32"/>
        <v>0</v>
      </c>
      <c r="H154" s="38">
        <f t="shared" si="32"/>
        <v>0</v>
      </c>
      <c r="I154" s="38">
        <f t="shared" si="32"/>
        <v>430994</v>
      </c>
      <c r="J154" s="38">
        <f>J155+J156</f>
        <v>525181</v>
      </c>
      <c r="K154" s="38">
        <f t="shared" si="32"/>
        <v>0</v>
      </c>
      <c r="L154" s="38">
        <f t="shared" si="32"/>
        <v>6227</v>
      </c>
      <c r="M154" s="38">
        <f t="shared" si="32"/>
        <v>0</v>
      </c>
      <c r="N154" s="38">
        <f t="shared" si="32"/>
        <v>0</v>
      </c>
      <c r="O154" s="27">
        <f t="shared" si="29"/>
        <v>705089</v>
      </c>
      <c r="P154" s="58"/>
      <c r="Q154" s="59"/>
      <c r="R154" s="59"/>
    </row>
    <row r="155" spans="1:18" s="10" customFormat="1" ht="15.75" hidden="1" customHeight="1" x14ac:dyDescent="0.3">
      <c r="A155" s="101" t="s">
        <v>311</v>
      </c>
      <c r="B155" s="33" t="s">
        <v>27</v>
      </c>
      <c r="C155" s="37">
        <f>78300+3241-24823</f>
        <v>56718</v>
      </c>
      <c r="D155" s="37">
        <v>75900</v>
      </c>
      <c r="E155" s="37"/>
      <c r="F155" s="37"/>
      <c r="G155" s="37"/>
      <c r="H155" s="37"/>
      <c r="I155" s="37">
        <f>44000-15081</f>
        <v>28919</v>
      </c>
      <c r="J155" s="37">
        <v>42120</v>
      </c>
      <c r="K155" s="37"/>
      <c r="L155" s="37">
        <f>11100-4963</f>
        <v>6137</v>
      </c>
      <c r="M155" s="37"/>
      <c r="N155" s="37"/>
      <c r="O155" s="27">
        <f t="shared" si="29"/>
        <v>91774</v>
      </c>
      <c r="P155" s="58"/>
      <c r="Q155" s="59"/>
      <c r="R155" s="59"/>
    </row>
    <row r="156" spans="1:18" s="10" customFormat="1" ht="15.75" hidden="1" customHeight="1" x14ac:dyDescent="0.3">
      <c r="A156" s="49" t="s">
        <v>312</v>
      </c>
      <c r="B156" s="33" t="s">
        <v>26</v>
      </c>
      <c r="C156" s="37">
        <f>356400-78300+8729+12490-88169</f>
        <v>211150</v>
      </c>
      <c r="D156" s="37">
        <f>284000-75900</f>
        <v>208100</v>
      </c>
      <c r="E156" s="37"/>
      <c r="F156" s="37"/>
      <c r="G156" s="37"/>
      <c r="H156" s="37"/>
      <c r="I156" s="37">
        <f>495487-93412</f>
        <v>402075</v>
      </c>
      <c r="J156" s="37">
        <v>483061</v>
      </c>
      <c r="K156" s="37"/>
      <c r="L156" s="37">
        <f>300-210</f>
        <v>90</v>
      </c>
      <c r="M156" s="37"/>
      <c r="N156" s="37"/>
      <c r="O156" s="27">
        <f t="shared" si="29"/>
        <v>613315</v>
      </c>
      <c r="P156" s="58"/>
      <c r="Q156" s="59"/>
      <c r="R156" s="59"/>
    </row>
    <row r="157" spans="1:18" s="10" customFormat="1" ht="31.5" customHeight="1" x14ac:dyDescent="0.3">
      <c r="A157" s="38" t="s">
        <v>135</v>
      </c>
      <c r="B157" s="50" t="s">
        <v>571</v>
      </c>
      <c r="C157" s="38">
        <f>C158+C159</f>
        <v>220216</v>
      </c>
      <c r="D157" s="38">
        <f>D158+D159</f>
        <v>300751</v>
      </c>
      <c r="E157" s="38">
        <f t="shared" ref="E157:N157" si="33">E158+E159</f>
        <v>0</v>
      </c>
      <c r="F157" s="38">
        <f t="shared" si="33"/>
        <v>0</v>
      </c>
      <c r="G157" s="38">
        <f t="shared" si="33"/>
        <v>0</v>
      </c>
      <c r="H157" s="38">
        <f t="shared" si="33"/>
        <v>0</v>
      </c>
      <c r="I157" s="38">
        <f t="shared" si="33"/>
        <v>248936</v>
      </c>
      <c r="J157" s="38">
        <f>J158+J159</f>
        <v>273472</v>
      </c>
      <c r="K157" s="38">
        <f t="shared" si="33"/>
        <v>0</v>
      </c>
      <c r="L157" s="38">
        <f t="shared" si="33"/>
        <v>11168</v>
      </c>
      <c r="M157" s="38">
        <f t="shared" si="33"/>
        <v>0</v>
      </c>
      <c r="N157" s="38">
        <f t="shared" si="33"/>
        <v>0</v>
      </c>
      <c r="O157" s="27">
        <f>C157+F157+I157+L157</f>
        <v>480320</v>
      </c>
      <c r="P157" s="58"/>
      <c r="Q157" s="59"/>
      <c r="R157" s="59"/>
    </row>
    <row r="158" spans="1:18" s="10" customFormat="1" ht="15.75" hidden="1" customHeight="1" x14ac:dyDescent="0.3">
      <c r="A158" s="102" t="s">
        <v>196</v>
      </c>
      <c r="B158" s="33" t="s">
        <v>27</v>
      </c>
      <c r="C158" s="37">
        <f>87000+3764-29364</f>
        <v>61400</v>
      </c>
      <c r="D158" s="37">
        <v>83000</v>
      </c>
      <c r="E158" s="37"/>
      <c r="F158" s="37"/>
      <c r="G158" s="37"/>
      <c r="H158" s="37"/>
      <c r="I158" s="37">
        <f>50285-17342</f>
        <v>32943</v>
      </c>
      <c r="J158" s="37">
        <v>48360</v>
      </c>
      <c r="K158" s="37"/>
      <c r="L158" s="37">
        <f>21500-11652</f>
        <v>9848</v>
      </c>
      <c r="M158" s="37"/>
      <c r="N158" s="37"/>
      <c r="O158" s="27">
        <f>C158+F158+I158+L158</f>
        <v>104191</v>
      </c>
      <c r="P158" s="58"/>
      <c r="Q158" s="59"/>
      <c r="R158" s="59"/>
    </row>
    <row r="159" spans="1:18" s="10" customFormat="1" ht="15.75" hidden="1" customHeight="1" x14ac:dyDescent="0.3">
      <c r="A159" s="49" t="s">
        <v>197</v>
      </c>
      <c r="B159" s="33" t="s">
        <v>26</v>
      </c>
      <c r="C159" s="37">
        <f>343900+3804-87000+1000-102888</f>
        <v>158816</v>
      </c>
      <c r="D159" s="37">
        <f>297000+3751-83000</f>
        <v>217751</v>
      </c>
      <c r="E159" s="37"/>
      <c r="F159" s="37"/>
      <c r="G159" s="37"/>
      <c r="H159" s="37"/>
      <c r="I159" s="37">
        <f>230727-14734</f>
        <v>215993</v>
      </c>
      <c r="J159" s="37">
        <v>225112</v>
      </c>
      <c r="K159" s="37"/>
      <c r="L159" s="37">
        <v>1320</v>
      </c>
      <c r="M159" s="37"/>
      <c r="N159" s="37"/>
      <c r="O159" s="27">
        <f>C159+F159+I159+L159</f>
        <v>376129</v>
      </c>
      <c r="P159" s="58"/>
      <c r="Q159" s="59"/>
      <c r="R159" s="59"/>
    </row>
    <row r="160" spans="1:18" s="10" customFormat="1" ht="30" customHeight="1" x14ac:dyDescent="0.3">
      <c r="A160" s="38" t="s">
        <v>136</v>
      </c>
      <c r="B160" s="50" t="s">
        <v>572</v>
      </c>
      <c r="C160" s="38">
        <f>C161+C162</f>
        <v>476651</v>
      </c>
      <c r="D160" s="38">
        <f>D161+D162</f>
        <v>377000</v>
      </c>
      <c r="E160" s="38">
        <f t="shared" ref="E160:N160" si="34">E161+E162</f>
        <v>0</v>
      </c>
      <c r="F160" s="127">
        <f>F161+F162+692+16688</f>
        <v>40898</v>
      </c>
      <c r="G160" s="38">
        <f t="shared" si="34"/>
        <v>5850</v>
      </c>
      <c r="H160" s="38">
        <f t="shared" si="34"/>
        <v>0</v>
      </c>
      <c r="I160" s="127">
        <f>I161+I162+67904</f>
        <v>799402</v>
      </c>
      <c r="J160" s="38">
        <f>J161+J162</f>
        <v>706878</v>
      </c>
      <c r="K160" s="38">
        <f t="shared" si="34"/>
        <v>0</v>
      </c>
      <c r="L160" s="38">
        <f>L161+L162+1200</f>
        <v>29700</v>
      </c>
      <c r="M160" s="38">
        <f t="shared" si="34"/>
        <v>0</v>
      </c>
      <c r="N160" s="38">
        <f t="shared" si="34"/>
        <v>0</v>
      </c>
      <c r="O160" s="27">
        <f t="shared" si="29"/>
        <v>1346651</v>
      </c>
      <c r="P160" s="58"/>
      <c r="Q160" s="59"/>
      <c r="R160" s="59"/>
    </row>
    <row r="161" spans="1:18" s="10" customFormat="1" ht="15.75" hidden="1" customHeight="1" x14ac:dyDescent="0.3">
      <c r="A161" s="102" t="s">
        <v>291</v>
      </c>
      <c r="B161" s="33" t="s">
        <v>27</v>
      </c>
      <c r="C161" s="37">
        <f>165300+2657</f>
        <v>167957</v>
      </c>
      <c r="D161" s="37">
        <f>160000</f>
        <v>160000</v>
      </c>
      <c r="E161" s="37"/>
      <c r="F161" s="37">
        <f>22798+720</f>
        <v>23518</v>
      </c>
      <c r="G161" s="37">
        <f>5850</f>
        <v>5850</v>
      </c>
      <c r="H161" s="37"/>
      <c r="I161" s="37">
        <v>159553</v>
      </c>
      <c r="J161" s="37">
        <v>154502</v>
      </c>
      <c r="K161" s="37"/>
      <c r="L161" s="37">
        <v>28500</v>
      </c>
      <c r="M161" s="37"/>
      <c r="N161" s="37"/>
      <c r="O161" s="27">
        <f t="shared" si="29"/>
        <v>379528</v>
      </c>
      <c r="P161" s="58"/>
      <c r="Q161" s="59"/>
      <c r="R161" s="59"/>
    </row>
    <row r="162" spans="1:18" s="10" customFormat="1" ht="15.75" hidden="1" customHeight="1" x14ac:dyDescent="0.3">
      <c r="A162" s="49" t="s">
        <v>292</v>
      </c>
      <c r="B162" s="33" t="s">
        <v>26</v>
      </c>
      <c r="C162" s="37">
        <f>449400-165300+17080+7514</f>
        <v>308694</v>
      </c>
      <c r="D162" s="37">
        <f>377000-160000</f>
        <v>217000</v>
      </c>
      <c r="E162" s="37"/>
      <c r="F162" s="37"/>
      <c r="G162" s="37"/>
      <c r="H162" s="37"/>
      <c r="I162" s="37">
        <v>571945</v>
      </c>
      <c r="J162" s="37">
        <v>552376</v>
      </c>
      <c r="K162" s="37"/>
      <c r="L162" s="37"/>
      <c r="M162" s="37"/>
      <c r="N162" s="37"/>
      <c r="O162" s="27">
        <f t="shared" si="29"/>
        <v>880639</v>
      </c>
      <c r="P162" s="58"/>
      <c r="Q162" s="59"/>
      <c r="R162" s="59"/>
    </row>
    <row r="163" spans="1:18" s="10" customFormat="1" ht="30.75" customHeight="1" x14ac:dyDescent="0.3">
      <c r="A163" s="38" t="s">
        <v>137</v>
      </c>
      <c r="B163" s="50" t="s">
        <v>573</v>
      </c>
      <c r="C163" s="38">
        <f>C164+C165</f>
        <v>259511</v>
      </c>
      <c r="D163" s="38">
        <f t="shared" ref="D163:L163" si="35">D164+D165</f>
        <v>342000</v>
      </c>
      <c r="E163" s="38">
        <f t="shared" si="35"/>
        <v>0</v>
      </c>
      <c r="F163" s="38">
        <f t="shared" si="35"/>
        <v>1440</v>
      </c>
      <c r="G163" s="38">
        <f t="shared" si="35"/>
        <v>0</v>
      </c>
      <c r="H163" s="38">
        <f t="shared" si="35"/>
        <v>0</v>
      </c>
      <c r="I163" s="38">
        <f t="shared" si="35"/>
        <v>354071</v>
      </c>
      <c r="J163" s="38">
        <f>J164+J165</f>
        <v>460148</v>
      </c>
      <c r="K163" s="38">
        <f t="shared" si="35"/>
        <v>0</v>
      </c>
      <c r="L163" s="38">
        <f t="shared" si="35"/>
        <v>8541</v>
      </c>
      <c r="M163" s="38">
        <f>M164+M165</f>
        <v>0</v>
      </c>
      <c r="N163" s="38">
        <f>N164+N165</f>
        <v>0</v>
      </c>
      <c r="O163" s="27">
        <f t="shared" si="29"/>
        <v>623563</v>
      </c>
      <c r="P163" s="58"/>
      <c r="Q163" s="59"/>
      <c r="R163" s="59"/>
    </row>
    <row r="164" spans="1:18" s="10" customFormat="1" ht="15.75" hidden="1" customHeight="1" x14ac:dyDescent="0.3">
      <c r="A164" s="102" t="s">
        <v>170</v>
      </c>
      <c r="B164" s="33" t="s">
        <v>27</v>
      </c>
      <c r="C164" s="37">
        <f>124700-46331</f>
        <v>78369</v>
      </c>
      <c r="D164" s="37">
        <f>120500</f>
        <v>120500</v>
      </c>
      <c r="E164" s="37"/>
      <c r="F164" s="37">
        <v>1440</v>
      </c>
      <c r="G164" s="37"/>
      <c r="H164" s="37"/>
      <c r="I164" s="37">
        <f>31614-12190</f>
        <v>19424</v>
      </c>
      <c r="J164" s="37">
        <v>30000</v>
      </c>
      <c r="K164" s="37"/>
      <c r="L164" s="37">
        <f>10960-2419</f>
        <v>8541</v>
      </c>
      <c r="M164" s="37"/>
      <c r="N164" s="37"/>
      <c r="O164" s="27">
        <f t="shared" si="29"/>
        <v>107774</v>
      </c>
      <c r="P164" s="58"/>
      <c r="Q164" s="59"/>
      <c r="R164" s="59"/>
    </row>
    <row r="165" spans="1:18" s="10" customFormat="1" ht="15.75" hidden="1" customHeight="1" x14ac:dyDescent="0.3">
      <c r="A165" s="49" t="s">
        <v>171</v>
      </c>
      <c r="B165" s="33" t="s">
        <v>26</v>
      </c>
      <c r="C165" s="37">
        <f>430900-124700+3500+6885-135443</f>
        <v>181142</v>
      </c>
      <c r="D165" s="37">
        <f>342000-120500</f>
        <v>221500</v>
      </c>
      <c r="E165" s="37"/>
      <c r="F165" s="37"/>
      <c r="G165" s="37"/>
      <c r="H165" s="37"/>
      <c r="I165" s="37">
        <f>442267-107620</f>
        <v>334647</v>
      </c>
      <c r="J165" s="37">
        <v>430148</v>
      </c>
      <c r="K165" s="37"/>
      <c r="L165" s="37"/>
      <c r="M165" s="37"/>
      <c r="N165" s="37"/>
      <c r="O165" s="27">
        <f t="shared" si="29"/>
        <v>515789</v>
      </c>
      <c r="P165" s="58"/>
      <c r="Q165" s="59"/>
      <c r="R165" s="59"/>
    </row>
    <row r="166" spans="1:18" s="10" customFormat="1" ht="15.6" x14ac:dyDescent="0.3">
      <c r="A166" s="38" t="s">
        <v>138</v>
      </c>
      <c r="B166" s="50" t="s">
        <v>574</v>
      </c>
      <c r="C166" s="38">
        <f>C167+C168</f>
        <v>437813</v>
      </c>
      <c r="D166" s="38">
        <f t="shared" ref="D166:K166" si="36">D167+D168</f>
        <v>311000</v>
      </c>
      <c r="E166" s="38">
        <f t="shared" si="36"/>
        <v>0</v>
      </c>
      <c r="F166" s="127">
        <f>F167+F168+305+11126</f>
        <v>22830</v>
      </c>
      <c r="G166" s="38">
        <f t="shared" si="36"/>
        <v>6765</v>
      </c>
      <c r="H166" s="38">
        <f t="shared" si="36"/>
        <v>0</v>
      </c>
      <c r="I166" s="127">
        <f>I167+I168+18604</f>
        <v>606732</v>
      </c>
      <c r="J166" s="38">
        <f>J167+J168</f>
        <v>571002</v>
      </c>
      <c r="K166" s="38">
        <f t="shared" si="36"/>
        <v>0</v>
      </c>
      <c r="L166" s="38">
        <f>L167+L168+1220</f>
        <v>13330</v>
      </c>
      <c r="M166" s="38">
        <f>M167+M168</f>
        <v>0</v>
      </c>
      <c r="N166" s="38">
        <f>N167+N168</f>
        <v>0</v>
      </c>
      <c r="O166" s="27">
        <f t="shared" si="29"/>
        <v>1080705</v>
      </c>
      <c r="P166" s="58"/>
      <c r="Q166" s="59"/>
      <c r="R166" s="59"/>
    </row>
    <row r="167" spans="1:18" s="10" customFormat="1" ht="15.75" hidden="1" customHeight="1" x14ac:dyDescent="0.3">
      <c r="A167" s="49" t="s">
        <v>190</v>
      </c>
      <c r="B167" s="33" t="s">
        <v>27</v>
      </c>
      <c r="C167" s="37">
        <f>118700+6396</f>
        <v>125096</v>
      </c>
      <c r="D167" s="37">
        <f>115700</f>
        <v>115700</v>
      </c>
      <c r="E167" s="37"/>
      <c r="F167" s="37">
        <f>11399</f>
        <v>11399</v>
      </c>
      <c r="G167" s="37">
        <f>6765</f>
        <v>6765</v>
      </c>
      <c r="H167" s="37"/>
      <c r="I167" s="37">
        <v>75359</v>
      </c>
      <c r="J167" s="37">
        <v>73075</v>
      </c>
      <c r="K167" s="37"/>
      <c r="L167" s="37">
        <v>12110</v>
      </c>
      <c r="M167" s="37"/>
      <c r="N167" s="37"/>
      <c r="O167" s="27">
        <f t="shared" si="29"/>
        <v>223964</v>
      </c>
      <c r="P167" s="58"/>
      <c r="Q167" s="59"/>
      <c r="R167" s="59"/>
    </row>
    <row r="168" spans="1:18" s="10" customFormat="1" ht="15.75" hidden="1" customHeight="1" x14ac:dyDescent="0.3">
      <c r="A168" s="49" t="s">
        <v>191</v>
      </c>
      <c r="B168" s="33" t="s">
        <v>26</v>
      </c>
      <c r="C168" s="37">
        <f>402300-118700+13376+15741</f>
        <v>312717</v>
      </c>
      <c r="D168" s="37">
        <f>311000-115700</f>
        <v>195300</v>
      </c>
      <c r="E168" s="37"/>
      <c r="F168" s="37"/>
      <c r="G168" s="37"/>
      <c r="H168" s="37"/>
      <c r="I168" s="37">
        <v>512769</v>
      </c>
      <c r="J168" s="37">
        <v>497927</v>
      </c>
      <c r="K168" s="37"/>
      <c r="L168" s="37"/>
      <c r="M168" s="37"/>
      <c r="N168" s="37"/>
      <c r="O168" s="27">
        <f t="shared" si="29"/>
        <v>825486</v>
      </c>
      <c r="P168" s="58"/>
      <c r="Q168" s="59"/>
      <c r="R168" s="59"/>
    </row>
    <row r="169" spans="1:18" s="10" customFormat="1" ht="15.75" customHeight="1" x14ac:dyDescent="0.3">
      <c r="A169" s="38" t="s">
        <v>139</v>
      </c>
      <c r="B169" s="106" t="s">
        <v>575</v>
      </c>
      <c r="C169" s="38">
        <f>C170+C171</f>
        <v>258406</v>
      </c>
      <c r="D169" s="38">
        <f t="shared" ref="D169:N169" si="37">D170+D171</f>
        <v>294000</v>
      </c>
      <c r="E169" s="38">
        <f t="shared" si="37"/>
        <v>0</v>
      </c>
      <c r="F169" s="38">
        <f t="shared" si="37"/>
        <v>0</v>
      </c>
      <c r="G169" s="38">
        <f t="shared" si="37"/>
        <v>0</v>
      </c>
      <c r="H169" s="38">
        <f t="shared" si="37"/>
        <v>0</v>
      </c>
      <c r="I169" s="38">
        <f t="shared" si="37"/>
        <v>277116</v>
      </c>
      <c r="J169" s="38">
        <f>J170+J171</f>
        <v>378466</v>
      </c>
      <c r="K169" s="38">
        <f t="shared" si="37"/>
        <v>0</v>
      </c>
      <c r="L169" s="38">
        <f t="shared" si="37"/>
        <v>11843</v>
      </c>
      <c r="M169" s="38">
        <f t="shared" si="37"/>
        <v>0</v>
      </c>
      <c r="N169" s="38">
        <f t="shared" si="37"/>
        <v>0</v>
      </c>
      <c r="O169" s="27">
        <f t="shared" si="29"/>
        <v>547365</v>
      </c>
      <c r="P169" s="58"/>
      <c r="Q169" s="59"/>
      <c r="R169" s="59"/>
    </row>
    <row r="170" spans="1:18" s="10" customFormat="1" ht="15.75" hidden="1" customHeight="1" x14ac:dyDescent="0.3">
      <c r="A170" s="49" t="s">
        <v>82</v>
      </c>
      <c r="B170" s="33" t="s">
        <v>27</v>
      </c>
      <c r="C170" s="37">
        <f>138700+1848-57136</f>
        <v>83412</v>
      </c>
      <c r="D170" s="37">
        <v>136000</v>
      </c>
      <c r="E170" s="37"/>
      <c r="F170" s="37"/>
      <c r="G170" s="37"/>
      <c r="H170" s="37"/>
      <c r="I170" s="37">
        <f>73991-22176</f>
        <v>51815</v>
      </c>
      <c r="J170" s="37">
        <v>71905</v>
      </c>
      <c r="K170" s="37"/>
      <c r="L170" s="37">
        <f>13880-2037</f>
        <v>11843</v>
      </c>
      <c r="M170" s="37"/>
      <c r="N170" s="37"/>
      <c r="O170" s="27">
        <f t="shared" si="29"/>
        <v>147070</v>
      </c>
      <c r="P170" s="58"/>
      <c r="Q170" s="59"/>
      <c r="R170" s="59"/>
    </row>
    <row r="171" spans="1:18" s="10" customFormat="1" ht="15.75" hidden="1" customHeight="1" x14ac:dyDescent="0.3">
      <c r="A171" s="49" t="s">
        <v>83</v>
      </c>
      <c r="B171" s="33" t="s">
        <v>26</v>
      </c>
      <c r="C171" s="37">
        <f>356100-138700+10749+11051-64206</f>
        <v>174994</v>
      </c>
      <c r="D171" s="37">
        <f>294000-136000</f>
        <v>158000</v>
      </c>
      <c r="E171" s="37"/>
      <c r="F171" s="37"/>
      <c r="G171" s="37"/>
      <c r="H171" s="37"/>
      <c r="I171" s="37">
        <f>315226-89925</f>
        <v>225301</v>
      </c>
      <c r="J171" s="37">
        <v>306561</v>
      </c>
      <c r="K171" s="37"/>
      <c r="L171" s="37"/>
      <c r="M171" s="37"/>
      <c r="N171" s="37"/>
      <c r="O171" s="27">
        <f t="shared" si="29"/>
        <v>400295</v>
      </c>
      <c r="P171" s="58"/>
      <c r="Q171" s="59"/>
      <c r="R171" s="59"/>
    </row>
    <row r="172" spans="1:18" s="10" customFormat="1" ht="15.75" customHeight="1" x14ac:dyDescent="0.3">
      <c r="A172" s="38" t="s">
        <v>140</v>
      </c>
      <c r="B172" s="100" t="s">
        <v>576</v>
      </c>
      <c r="C172" s="38">
        <f>C173+C174</f>
        <v>571879</v>
      </c>
      <c r="D172" s="38">
        <f t="shared" ref="D172:K172" si="38">D173+D174</f>
        <v>491000</v>
      </c>
      <c r="E172" s="38">
        <f t="shared" si="38"/>
        <v>0</v>
      </c>
      <c r="F172" s="127">
        <f>F173+F174+1098+5563</f>
        <v>25662</v>
      </c>
      <c r="G172" s="38">
        <f t="shared" si="38"/>
        <v>8000</v>
      </c>
      <c r="H172" s="38">
        <f t="shared" si="38"/>
        <v>0</v>
      </c>
      <c r="I172" s="127">
        <f>I173+I174+2651</f>
        <v>441314</v>
      </c>
      <c r="J172" s="38">
        <f>J173+J174</f>
        <v>423456</v>
      </c>
      <c r="K172" s="38">
        <f t="shared" si="38"/>
        <v>0</v>
      </c>
      <c r="L172" s="38">
        <f>L173+L174</f>
        <v>59080</v>
      </c>
      <c r="M172" s="38">
        <f>M173+M174</f>
        <v>0</v>
      </c>
      <c r="N172" s="38">
        <f>N173+N174</f>
        <v>0</v>
      </c>
      <c r="O172" s="27">
        <f t="shared" si="29"/>
        <v>1097935</v>
      </c>
      <c r="P172" s="58"/>
      <c r="Q172" s="59"/>
      <c r="R172" s="59"/>
    </row>
    <row r="173" spans="1:18" s="10" customFormat="1" ht="15.75" hidden="1" customHeight="1" x14ac:dyDescent="0.3">
      <c r="A173" s="49" t="s">
        <v>85</v>
      </c>
      <c r="B173" s="33" t="s">
        <v>27</v>
      </c>
      <c r="C173" s="37">
        <f>560800-62600+9916+342</f>
        <v>508458</v>
      </c>
      <c r="D173" s="37">
        <f>491000-49000</f>
        <v>442000</v>
      </c>
      <c r="E173" s="37"/>
      <c r="F173" s="37">
        <f>15199+2160</f>
        <v>17359</v>
      </c>
      <c r="G173" s="37">
        <f>8000</f>
        <v>8000</v>
      </c>
      <c r="H173" s="37"/>
      <c r="I173" s="37">
        <v>269865</v>
      </c>
      <c r="J173" s="37">
        <v>261682</v>
      </c>
      <c r="K173" s="37"/>
      <c r="L173" s="37">
        <v>55620</v>
      </c>
      <c r="M173" s="37"/>
      <c r="N173" s="37"/>
      <c r="O173" s="27">
        <f t="shared" si="29"/>
        <v>851302</v>
      </c>
      <c r="P173" s="58"/>
      <c r="Q173" s="59"/>
      <c r="R173" s="59"/>
    </row>
    <row r="174" spans="1:18" s="10" customFormat="1" ht="15.75" hidden="1" customHeight="1" x14ac:dyDescent="0.3">
      <c r="A174" s="49" t="s">
        <v>86</v>
      </c>
      <c r="B174" s="33" t="s">
        <v>26</v>
      </c>
      <c r="C174" s="37">
        <f>62600+821</f>
        <v>63421</v>
      </c>
      <c r="D174" s="37">
        <v>49000</v>
      </c>
      <c r="E174" s="37"/>
      <c r="F174" s="37">
        <f>1642</f>
        <v>1642</v>
      </c>
      <c r="G174" s="37"/>
      <c r="H174" s="37"/>
      <c r="I174" s="37">
        <v>168798</v>
      </c>
      <c r="J174" s="37">
        <v>161774</v>
      </c>
      <c r="K174" s="37"/>
      <c r="L174" s="37">
        <v>3460</v>
      </c>
      <c r="M174" s="37"/>
      <c r="N174" s="37"/>
      <c r="O174" s="27">
        <f t="shared" si="29"/>
        <v>237321</v>
      </c>
      <c r="P174" s="58"/>
      <c r="Q174" s="59"/>
      <c r="R174" s="59"/>
    </row>
    <row r="175" spans="1:18" s="10" customFormat="1" ht="15.75" customHeight="1" x14ac:dyDescent="0.3">
      <c r="A175" s="38" t="s">
        <v>141</v>
      </c>
      <c r="B175" s="50" t="s">
        <v>577</v>
      </c>
      <c r="C175" s="38">
        <f t="shared" ref="C175:N175" si="39">C176+C177</f>
        <v>819282</v>
      </c>
      <c r="D175" s="38">
        <f t="shared" si="39"/>
        <v>737900</v>
      </c>
      <c r="E175" s="38">
        <f t="shared" si="39"/>
        <v>0</v>
      </c>
      <c r="F175" s="127">
        <f>F176+F177+2161+8344</f>
        <v>36556</v>
      </c>
      <c r="G175" s="38">
        <f t="shared" si="39"/>
        <v>2215</v>
      </c>
      <c r="H175" s="38">
        <f t="shared" si="39"/>
        <v>0</v>
      </c>
      <c r="I175" s="127">
        <f>I176+I177+36592</f>
        <v>604838</v>
      </c>
      <c r="J175" s="38">
        <f t="shared" si="39"/>
        <v>550295</v>
      </c>
      <c r="K175" s="38">
        <f t="shared" si="39"/>
        <v>0</v>
      </c>
      <c r="L175" s="38">
        <f t="shared" si="39"/>
        <v>107060</v>
      </c>
      <c r="M175" s="38">
        <f t="shared" si="39"/>
        <v>0</v>
      </c>
      <c r="N175" s="38">
        <f t="shared" si="39"/>
        <v>0</v>
      </c>
      <c r="O175" s="27">
        <f>C175+F175+I175+L175</f>
        <v>1567736</v>
      </c>
      <c r="P175" s="58"/>
      <c r="Q175" s="59"/>
      <c r="R175" s="59"/>
    </row>
    <row r="176" spans="1:18" s="10" customFormat="1" ht="15.75" hidden="1" customHeight="1" x14ac:dyDescent="0.3">
      <c r="A176" s="49" t="s">
        <v>293</v>
      </c>
      <c r="B176" s="33" t="s">
        <v>27</v>
      </c>
      <c r="C176" s="37">
        <f>830600-16000-35510+3356+1326</f>
        <v>783772</v>
      </c>
      <c r="D176" s="37">
        <f>737900-35000</f>
        <v>702900</v>
      </c>
      <c r="E176" s="37"/>
      <c r="F176" s="37">
        <f>3800+16000+3600+2651</f>
        <v>26051</v>
      </c>
      <c r="G176" s="37">
        <f>2215</f>
        <v>2215</v>
      </c>
      <c r="H176" s="37"/>
      <c r="I176" s="37">
        <v>476217</v>
      </c>
      <c r="J176" s="37">
        <v>460304</v>
      </c>
      <c r="K176" s="38"/>
      <c r="L176" s="37">
        <f>1500+85100+20460</f>
        <v>107060</v>
      </c>
      <c r="M176" s="37"/>
      <c r="N176" s="37"/>
      <c r="O176" s="27">
        <f>C176+F176+I176+L176</f>
        <v>1393100</v>
      </c>
      <c r="P176" s="58"/>
      <c r="Q176" s="59"/>
      <c r="R176" s="59"/>
    </row>
    <row r="177" spans="1:18" s="10" customFormat="1" ht="15.75" hidden="1" customHeight="1" x14ac:dyDescent="0.3">
      <c r="A177" s="49" t="s">
        <v>294</v>
      </c>
      <c r="B177" s="33" t="s">
        <v>26</v>
      </c>
      <c r="C177" s="37">
        <v>35510</v>
      </c>
      <c r="D177" s="37">
        <v>35000</v>
      </c>
      <c r="E177" s="37"/>
      <c r="F177" s="37"/>
      <c r="G177" s="37"/>
      <c r="H177" s="37"/>
      <c r="I177" s="37">
        <v>92029</v>
      </c>
      <c r="J177" s="37">
        <v>89991</v>
      </c>
      <c r="K177" s="37"/>
      <c r="L177" s="37"/>
      <c r="M177" s="37"/>
      <c r="N177" s="37"/>
      <c r="O177" s="27">
        <f>C177+F177+I177+L177</f>
        <v>127539</v>
      </c>
      <c r="P177" s="58"/>
      <c r="Q177" s="59"/>
      <c r="R177" s="59"/>
    </row>
    <row r="178" spans="1:18" s="10" customFormat="1" ht="15.75" customHeight="1" x14ac:dyDescent="0.3">
      <c r="A178" s="38" t="s">
        <v>142</v>
      </c>
      <c r="B178" s="100" t="s">
        <v>18</v>
      </c>
      <c r="C178" s="38">
        <f>813000+5003</f>
        <v>818003</v>
      </c>
      <c r="D178" s="38">
        <v>734000</v>
      </c>
      <c r="E178" s="38"/>
      <c r="F178" s="127">
        <f>30397+720+2260+8344</f>
        <v>41721</v>
      </c>
      <c r="G178" s="38">
        <f>9956</f>
        <v>9956</v>
      </c>
      <c r="H178" s="38"/>
      <c r="I178" s="38">
        <v>520690</v>
      </c>
      <c r="J178" s="38">
        <v>503396</v>
      </c>
      <c r="K178" s="38"/>
      <c r="L178" s="38">
        <f>130+142130</f>
        <v>142260</v>
      </c>
      <c r="M178" s="38"/>
      <c r="N178" s="38"/>
      <c r="O178" s="27">
        <f t="shared" si="29"/>
        <v>1522674</v>
      </c>
      <c r="P178" s="58"/>
      <c r="Q178" s="59"/>
      <c r="R178" s="59"/>
    </row>
    <row r="179" spans="1:18" s="10" customFormat="1" ht="15.75" customHeight="1" x14ac:dyDescent="0.3">
      <c r="A179" s="38" t="s">
        <v>143</v>
      </c>
      <c r="B179" s="50" t="s">
        <v>36</v>
      </c>
      <c r="C179" s="38">
        <v>681300</v>
      </c>
      <c r="D179" s="38">
        <v>648000</v>
      </c>
      <c r="E179" s="38"/>
      <c r="F179" s="127">
        <f>2236</f>
        <v>2236</v>
      </c>
      <c r="G179" s="38"/>
      <c r="H179" s="38"/>
      <c r="I179" s="127">
        <f>54900+4510</f>
        <v>59410</v>
      </c>
      <c r="J179" s="38">
        <v>54115</v>
      </c>
      <c r="K179" s="38"/>
      <c r="L179" s="38">
        <v>53860</v>
      </c>
      <c r="M179" s="38">
        <v>23000</v>
      </c>
      <c r="N179" s="38"/>
      <c r="O179" s="27">
        <f t="shared" si="29"/>
        <v>796806</v>
      </c>
      <c r="P179" s="58"/>
      <c r="Q179" s="59"/>
      <c r="R179" s="59"/>
    </row>
    <row r="180" spans="1:18" s="10" customFormat="1" ht="30.75" customHeight="1" x14ac:dyDescent="0.3">
      <c r="A180" s="38" t="s">
        <v>144</v>
      </c>
      <c r="B180" s="50" t="s">
        <v>425</v>
      </c>
      <c r="C180" s="127">
        <f>183600+4890+310</f>
        <v>188800</v>
      </c>
      <c r="D180" s="38">
        <v>152000</v>
      </c>
      <c r="E180" s="38"/>
      <c r="F180" s="38">
        <v>51979</v>
      </c>
      <c r="G180" s="38">
        <v>51237</v>
      </c>
      <c r="H180" s="38"/>
      <c r="I180" s="127">
        <f>116983+12413</f>
        <v>129396</v>
      </c>
      <c r="J180" s="38">
        <v>115312</v>
      </c>
      <c r="K180" s="38"/>
      <c r="L180" s="38">
        <f>11170+23580</f>
        <v>34750</v>
      </c>
      <c r="M180" s="38">
        <v>1670</v>
      </c>
      <c r="N180" s="38"/>
      <c r="O180" s="27">
        <f t="shared" si="29"/>
        <v>404925</v>
      </c>
      <c r="P180" s="58"/>
      <c r="Q180" s="59"/>
      <c r="R180" s="59"/>
    </row>
    <row r="181" spans="1:18" s="12" customFormat="1" ht="18" customHeight="1" x14ac:dyDescent="0.3">
      <c r="A181" s="38" t="s">
        <v>145</v>
      </c>
      <c r="B181" s="42" t="s">
        <v>35</v>
      </c>
      <c r="C181" s="38">
        <f>SUM(C182:C193)</f>
        <v>709000</v>
      </c>
      <c r="D181" s="38">
        <f t="shared" ref="D181:N181" si="40">SUM(D182:D192)</f>
        <v>0</v>
      </c>
      <c r="E181" s="38">
        <f t="shared" si="40"/>
        <v>0</v>
      </c>
      <c r="F181" s="38">
        <f>SUM(F182:H193)</f>
        <v>657834</v>
      </c>
      <c r="G181" s="38">
        <f>SUM(G182:I193)</f>
        <v>0</v>
      </c>
      <c r="H181" s="38">
        <f>SUM(H182:J193)</f>
        <v>195370</v>
      </c>
      <c r="I181" s="38">
        <f>SUM(I182:I193)</f>
        <v>0</v>
      </c>
      <c r="J181" s="38">
        <f t="shared" si="40"/>
        <v>195370</v>
      </c>
      <c r="K181" s="38">
        <f t="shared" si="40"/>
        <v>0</v>
      </c>
      <c r="L181" s="38">
        <f t="shared" si="40"/>
        <v>0</v>
      </c>
      <c r="M181" s="38">
        <f t="shared" si="40"/>
        <v>0</v>
      </c>
      <c r="N181" s="38">
        <f t="shared" si="40"/>
        <v>0</v>
      </c>
      <c r="O181" s="27">
        <f>C181+F181+I181+L181</f>
        <v>1366834</v>
      </c>
      <c r="P181" s="58"/>
      <c r="Q181" s="59"/>
      <c r="R181" s="59"/>
    </row>
    <row r="182" spans="1:18" s="10" customFormat="1" ht="15" customHeight="1" x14ac:dyDescent="0.3">
      <c r="A182" s="49" t="s">
        <v>313</v>
      </c>
      <c r="B182" s="33" t="s">
        <v>32</v>
      </c>
      <c r="C182" s="37">
        <f>380000+166000</f>
        <v>546000</v>
      </c>
      <c r="D182" s="37"/>
      <c r="E182" s="37"/>
      <c r="F182" s="38"/>
      <c r="G182" s="37"/>
      <c r="H182" s="37"/>
      <c r="I182" s="38"/>
      <c r="J182" s="38"/>
      <c r="K182" s="37"/>
      <c r="L182" s="38"/>
      <c r="M182" s="37"/>
      <c r="N182" s="37"/>
      <c r="O182" s="27">
        <f t="shared" si="29"/>
        <v>546000</v>
      </c>
      <c r="P182" s="58"/>
      <c r="Q182" s="59"/>
      <c r="R182" s="59"/>
    </row>
    <row r="183" spans="1:18" s="10" customFormat="1" ht="28.5" customHeight="1" x14ac:dyDescent="0.3">
      <c r="A183" s="49" t="s">
        <v>314</v>
      </c>
      <c r="B183" s="33" t="s">
        <v>185</v>
      </c>
      <c r="C183" s="121">
        <f>14000+1293</f>
        <v>15293</v>
      </c>
      <c r="D183" s="37"/>
      <c r="E183" s="37"/>
      <c r="F183" s="38"/>
      <c r="G183" s="37"/>
      <c r="H183" s="37"/>
      <c r="I183" s="38"/>
      <c r="J183" s="38"/>
      <c r="K183" s="37"/>
      <c r="L183" s="38"/>
      <c r="M183" s="37"/>
      <c r="N183" s="37"/>
      <c r="O183" s="27">
        <f t="shared" si="29"/>
        <v>15293</v>
      </c>
      <c r="P183" s="58"/>
      <c r="Q183" s="59"/>
      <c r="R183" s="59"/>
    </row>
    <row r="184" spans="1:18" s="13" customFormat="1" ht="27.75" customHeight="1" x14ac:dyDescent="0.25">
      <c r="A184" s="49" t="s">
        <v>315</v>
      </c>
      <c r="B184" s="33" t="s">
        <v>153</v>
      </c>
      <c r="C184" s="37">
        <v>9000</v>
      </c>
      <c r="D184" s="37"/>
      <c r="E184" s="39"/>
      <c r="F184" s="40"/>
      <c r="G184" s="39"/>
      <c r="H184" s="39"/>
      <c r="I184" s="40"/>
      <c r="J184" s="40"/>
      <c r="K184" s="39"/>
      <c r="L184" s="40"/>
      <c r="M184" s="39"/>
      <c r="N184" s="39"/>
      <c r="O184" s="27">
        <f t="shared" si="29"/>
        <v>9000</v>
      </c>
      <c r="P184" s="58"/>
      <c r="Q184" s="61"/>
      <c r="R184" s="61"/>
    </row>
    <row r="185" spans="1:18" s="13" customFormat="1" ht="17.25" customHeight="1" x14ac:dyDescent="0.25">
      <c r="A185" s="49" t="s">
        <v>316</v>
      </c>
      <c r="B185" s="33" t="s">
        <v>198</v>
      </c>
      <c r="C185" s="37"/>
      <c r="D185" s="37"/>
      <c r="E185" s="39"/>
      <c r="F185" s="37">
        <f>142200-4060</f>
        <v>138140</v>
      </c>
      <c r="G185" s="39"/>
      <c r="H185" s="39"/>
      <c r="I185" s="40"/>
      <c r="J185" s="40"/>
      <c r="K185" s="39"/>
      <c r="L185" s="40"/>
      <c r="M185" s="39"/>
      <c r="N185" s="39"/>
      <c r="O185" s="27">
        <f t="shared" si="29"/>
        <v>138140</v>
      </c>
      <c r="P185" s="58"/>
      <c r="Q185" s="61"/>
      <c r="R185" s="61"/>
    </row>
    <row r="186" spans="1:18" s="10" customFormat="1" ht="29.25" customHeight="1" x14ac:dyDescent="0.3">
      <c r="A186" s="53" t="s">
        <v>317</v>
      </c>
      <c r="B186" s="33" t="s">
        <v>369</v>
      </c>
      <c r="C186" s="121">
        <f>12000-1293</f>
        <v>10707</v>
      </c>
      <c r="D186" s="37"/>
      <c r="E186" s="37"/>
      <c r="F186" s="37"/>
      <c r="G186" s="37"/>
      <c r="H186" s="37"/>
      <c r="I186" s="38"/>
      <c r="J186" s="37"/>
      <c r="K186" s="37"/>
      <c r="L186" s="38"/>
      <c r="M186" s="37"/>
      <c r="N186" s="37"/>
      <c r="O186" s="27">
        <f t="shared" si="29"/>
        <v>10707</v>
      </c>
      <c r="P186" s="58"/>
      <c r="Q186" s="59"/>
      <c r="R186" s="59"/>
    </row>
    <row r="187" spans="1:18" s="10" customFormat="1" ht="16.5" customHeight="1" x14ac:dyDescent="0.3">
      <c r="A187" s="49" t="s">
        <v>318</v>
      </c>
      <c r="B187" s="33" t="s">
        <v>320</v>
      </c>
      <c r="C187" s="37">
        <v>90000</v>
      </c>
      <c r="D187" s="37"/>
      <c r="E187" s="37"/>
      <c r="F187" s="37"/>
      <c r="G187" s="37"/>
      <c r="H187" s="37"/>
      <c r="I187" s="38"/>
      <c r="J187" s="37"/>
      <c r="K187" s="37"/>
      <c r="L187" s="38"/>
      <c r="M187" s="37"/>
      <c r="N187" s="37"/>
      <c r="O187" s="27">
        <f t="shared" si="29"/>
        <v>90000</v>
      </c>
      <c r="P187" s="58"/>
      <c r="Q187" s="59"/>
      <c r="R187" s="59"/>
    </row>
    <row r="188" spans="1:18" s="10" customFormat="1" ht="15" customHeight="1" x14ac:dyDescent="0.3">
      <c r="A188" s="49" t="s">
        <v>319</v>
      </c>
      <c r="B188" s="33" t="s">
        <v>371</v>
      </c>
      <c r="C188" s="37">
        <v>11000</v>
      </c>
      <c r="D188" s="37"/>
      <c r="E188" s="37"/>
      <c r="F188" s="38"/>
      <c r="G188" s="37"/>
      <c r="H188" s="37"/>
      <c r="I188" s="38"/>
      <c r="J188" s="38"/>
      <c r="K188" s="37"/>
      <c r="L188" s="38"/>
      <c r="M188" s="37"/>
      <c r="N188" s="37"/>
      <c r="O188" s="27">
        <f t="shared" ref="O188:O193" si="41">C188+F188+I188+L188</f>
        <v>11000</v>
      </c>
      <c r="P188" s="58"/>
      <c r="Q188" s="59"/>
      <c r="R188" s="59"/>
    </row>
    <row r="189" spans="1:18" s="10" customFormat="1" ht="16.5" customHeight="1" x14ac:dyDescent="0.3">
      <c r="A189" s="49" t="s">
        <v>370</v>
      </c>
      <c r="B189" s="33" t="s">
        <v>352</v>
      </c>
      <c r="C189" s="37">
        <v>27000</v>
      </c>
      <c r="D189" s="37"/>
      <c r="E189" s="37"/>
      <c r="F189" s="38"/>
      <c r="G189" s="37"/>
      <c r="H189" s="37"/>
      <c r="I189" s="38"/>
      <c r="J189" s="38"/>
      <c r="K189" s="37"/>
      <c r="L189" s="38"/>
      <c r="M189" s="37"/>
      <c r="N189" s="37"/>
      <c r="O189" s="27">
        <f t="shared" si="41"/>
        <v>27000</v>
      </c>
      <c r="P189" s="58"/>
      <c r="Q189" s="59"/>
      <c r="R189" s="59"/>
    </row>
    <row r="190" spans="1:18" s="10" customFormat="1" ht="17.25" customHeight="1" x14ac:dyDescent="0.3">
      <c r="A190" s="49" t="s">
        <v>321</v>
      </c>
      <c r="B190" s="33" t="s">
        <v>372</v>
      </c>
      <c r="C190" s="37"/>
      <c r="D190" s="37"/>
      <c r="E190" s="37"/>
      <c r="F190" s="38"/>
      <c r="G190" s="37"/>
      <c r="H190" s="37"/>
      <c r="I190" s="38">
        <f>195370-195370</f>
        <v>0</v>
      </c>
      <c r="J190" s="37">
        <v>195370</v>
      </c>
      <c r="K190" s="37"/>
      <c r="L190" s="38"/>
      <c r="M190" s="37"/>
      <c r="N190" s="37"/>
      <c r="O190" s="27">
        <f t="shared" si="41"/>
        <v>0</v>
      </c>
      <c r="P190" s="58"/>
      <c r="Q190" s="59"/>
      <c r="R190" s="59"/>
    </row>
    <row r="191" spans="1:18" s="10" customFormat="1" ht="31.5" customHeight="1" x14ac:dyDescent="0.3">
      <c r="A191" s="49" t="s">
        <v>426</v>
      </c>
      <c r="B191" s="33" t="s">
        <v>392</v>
      </c>
      <c r="C191" s="37"/>
      <c r="D191" s="37"/>
      <c r="E191" s="37"/>
      <c r="F191" s="38">
        <f>10559+1259</f>
        <v>11818</v>
      </c>
      <c r="G191" s="37"/>
      <c r="H191" s="37"/>
      <c r="I191" s="38"/>
      <c r="J191" s="37"/>
      <c r="K191" s="37"/>
      <c r="L191" s="38"/>
      <c r="M191" s="37"/>
      <c r="N191" s="37"/>
      <c r="O191" s="27">
        <f t="shared" si="41"/>
        <v>11818</v>
      </c>
      <c r="P191" s="58"/>
      <c r="Q191" s="59"/>
      <c r="R191" s="59"/>
    </row>
    <row r="192" spans="1:18" s="10" customFormat="1" ht="17.25" customHeight="1" x14ac:dyDescent="0.3">
      <c r="A192" s="49" t="s">
        <v>373</v>
      </c>
      <c r="B192" s="33" t="s">
        <v>462</v>
      </c>
      <c r="C192" s="37"/>
      <c r="D192" s="37"/>
      <c r="E192" s="37"/>
      <c r="F192" s="38">
        <f>40334+247389+220153</f>
        <v>507876</v>
      </c>
      <c r="G192" s="37"/>
      <c r="H192" s="37"/>
      <c r="I192" s="38"/>
      <c r="J192" s="37"/>
      <c r="K192" s="37"/>
      <c r="L192" s="38"/>
      <c r="M192" s="37"/>
      <c r="N192" s="37"/>
      <c r="O192" s="27">
        <f t="shared" si="41"/>
        <v>507876</v>
      </c>
      <c r="P192" s="58"/>
      <c r="Q192" s="59"/>
      <c r="R192" s="59"/>
    </row>
    <row r="193" spans="1:18" s="10" customFormat="1" ht="31.5" customHeight="1" x14ac:dyDescent="0.3">
      <c r="A193" s="49" t="s">
        <v>524</v>
      </c>
      <c r="B193" s="33" t="s">
        <v>525</v>
      </c>
      <c r="C193" s="37"/>
      <c r="D193" s="37"/>
      <c r="E193" s="37"/>
      <c r="F193" s="38">
        <f>6749-6749</f>
        <v>0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0</v>
      </c>
      <c r="P193" s="58"/>
      <c r="Q193" s="59"/>
      <c r="R193" s="59"/>
    </row>
    <row r="194" spans="1:18" s="9" customFormat="1" ht="15.75" customHeight="1" x14ac:dyDescent="0.25">
      <c r="A194" s="27" t="s">
        <v>146</v>
      </c>
      <c r="B194" s="42" t="s">
        <v>24</v>
      </c>
      <c r="C194" s="27">
        <f>C195+C196+C197+C198+C199+C200</f>
        <v>280000</v>
      </c>
      <c r="D194" s="27">
        <f t="shared" ref="D194:O194" si="42">D195+D196+D197+D198+D199+D200</f>
        <v>0</v>
      </c>
      <c r="E194" s="27">
        <f t="shared" si="42"/>
        <v>0</v>
      </c>
      <c r="F194" s="27">
        <f t="shared" si="42"/>
        <v>0</v>
      </c>
      <c r="G194" s="27">
        <f t="shared" si="42"/>
        <v>0</v>
      </c>
      <c r="H194" s="27">
        <f t="shared" si="42"/>
        <v>0</v>
      </c>
      <c r="I194" s="27">
        <f t="shared" si="42"/>
        <v>0</v>
      </c>
      <c r="J194" s="27">
        <f t="shared" si="42"/>
        <v>0</v>
      </c>
      <c r="K194" s="27">
        <f t="shared" si="42"/>
        <v>0</v>
      </c>
      <c r="L194" s="27">
        <f t="shared" si="42"/>
        <v>0</v>
      </c>
      <c r="M194" s="27">
        <f t="shared" si="42"/>
        <v>0</v>
      </c>
      <c r="N194" s="27">
        <f t="shared" si="42"/>
        <v>0</v>
      </c>
      <c r="O194" s="27">
        <f t="shared" si="42"/>
        <v>280000</v>
      </c>
      <c r="P194" s="58"/>
      <c r="Q194" s="58"/>
      <c r="R194" s="58"/>
    </row>
    <row r="195" spans="1:18" s="10" customFormat="1" ht="29.25" customHeight="1" x14ac:dyDescent="0.3">
      <c r="A195" s="49" t="s">
        <v>295</v>
      </c>
      <c r="B195" s="33" t="s">
        <v>463</v>
      </c>
      <c r="C195" s="37">
        <v>220000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7">
        <f t="shared" si="29"/>
        <v>220000</v>
      </c>
      <c r="P195" s="58"/>
      <c r="Q195" s="59"/>
      <c r="R195" s="59"/>
    </row>
    <row r="196" spans="1:18" s="10" customFormat="1" ht="16.5" customHeight="1" x14ac:dyDescent="0.3">
      <c r="A196" s="49" t="s">
        <v>296</v>
      </c>
      <c r="B196" s="33" t="s">
        <v>464</v>
      </c>
      <c r="C196" s="37">
        <v>20000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7">
        <f t="shared" si="29"/>
        <v>20000</v>
      </c>
      <c r="P196" s="58"/>
      <c r="Q196" s="59"/>
      <c r="R196" s="59"/>
    </row>
    <row r="197" spans="1:18" s="10" customFormat="1" ht="15.75" customHeight="1" x14ac:dyDescent="0.3">
      <c r="A197" s="49" t="s">
        <v>297</v>
      </c>
      <c r="B197" s="33" t="s">
        <v>465</v>
      </c>
      <c r="C197" s="37">
        <v>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20000</v>
      </c>
      <c r="P197" s="58"/>
      <c r="Q197" s="59"/>
      <c r="R197" s="59"/>
    </row>
    <row r="198" spans="1:18" s="10" customFormat="1" ht="15.75" customHeight="1" x14ac:dyDescent="0.3">
      <c r="A198" s="49" t="s">
        <v>466</v>
      </c>
      <c r="B198" s="33" t="s">
        <v>467</v>
      </c>
      <c r="C198" s="37">
        <v>10000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10000</v>
      </c>
      <c r="P198" s="58"/>
      <c r="Q198" s="59"/>
      <c r="R198" s="59"/>
    </row>
    <row r="199" spans="1:18" s="10" customFormat="1" ht="15.75" customHeight="1" x14ac:dyDescent="0.3">
      <c r="A199" s="49" t="s">
        <v>468</v>
      </c>
      <c r="B199" s="33" t="s">
        <v>469</v>
      </c>
      <c r="C199" s="37">
        <v>10000</v>
      </c>
      <c r="D199" s="37"/>
      <c r="E199" s="37"/>
      <c r="F199" s="38"/>
      <c r="G199" s="37"/>
      <c r="H199" s="37"/>
      <c r="I199" s="38"/>
      <c r="J199" s="38"/>
      <c r="K199" s="37"/>
      <c r="L199" s="38"/>
      <c r="M199" s="37"/>
      <c r="N199" s="37"/>
      <c r="O199" s="27">
        <f t="shared" si="29"/>
        <v>10000</v>
      </c>
      <c r="P199" s="58"/>
      <c r="Q199" s="59"/>
      <c r="R199" s="59"/>
    </row>
    <row r="200" spans="1:18" s="10" customFormat="1" ht="15.75" customHeight="1" x14ac:dyDescent="0.3">
      <c r="A200" s="49" t="s">
        <v>470</v>
      </c>
      <c r="B200" s="33" t="s">
        <v>471</v>
      </c>
      <c r="C200" s="37">
        <f>400000-132713-267287</f>
        <v>0</v>
      </c>
      <c r="D200" s="37"/>
      <c r="E200" s="37"/>
      <c r="F200" s="38"/>
      <c r="G200" s="37"/>
      <c r="H200" s="37"/>
      <c r="I200" s="38"/>
      <c r="J200" s="38"/>
      <c r="K200" s="37"/>
      <c r="L200" s="38"/>
      <c r="M200" s="37"/>
      <c r="N200" s="37"/>
      <c r="O200" s="27">
        <f>C200+F200+I200+L200</f>
        <v>0</v>
      </c>
      <c r="P200" s="58"/>
      <c r="Q200" s="59"/>
      <c r="R200" s="59"/>
    </row>
    <row r="201" spans="1:18" s="1" customFormat="1" ht="32.25" customHeight="1" x14ac:dyDescent="0.3">
      <c r="A201" s="46"/>
      <c r="B201" s="136" t="s">
        <v>203</v>
      </c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85"/>
      <c r="Q201" s="17"/>
      <c r="R201" s="17"/>
    </row>
    <row r="202" spans="1:18" s="7" customFormat="1" ht="15.75" customHeight="1" x14ac:dyDescent="0.25">
      <c r="A202" s="29"/>
      <c r="B202" s="42" t="s">
        <v>28</v>
      </c>
      <c r="C202" s="38">
        <f t="shared" ref="C202:N202" si="43">C203+C247+C246</f>
        <v>7157550</v>
      </c>
      <c r="D202" s="38">
        <f t="shared" si="43"/>
        <v>2119560</v>
      </c>
      <c r="E202" s="38">
        <f t="shared" si="43"/>
        <v>0</v>
      </c>
      <c r="F202" s="38">
        <f>F203+F247+F246</f>
        <v>3011411</v>
      </c>
      <c r="G202" s="38">
        <f t="shared" si="43"/>
        <v>534560</v>
      </c>
      <c r="H202" s="38">
        <f t="shared" si="43"/>
        <v>0</v>
      </c>
      <c r="I202" s="38">
        <f>I203+I247+I246</f>
        <v>0</v>
      </c>
      <c r="J202" s="38">
        <f t="shared" si="43"/>
        <v>0</v>
      </c>
      <c r="K202" s="38">
        <f t="shared" si="43"/>
        <v>0</v>
      </c>
      <c r="L202" s="38">
        <f t="shared" si="43"/>
        <v>328824</v>
      </c>
      <c r="M202" s="38">
        <f t="shared" si="43"/>
        <v>326293</v>
      </c>
      <c r="N202" s="38">
        <f t="shared" si="43"/>
        <v>0</v>
      </c>
      <c r="O202" s="38">
        <f>C202+F202+I202+L202</f>
        <v>10497785</v>
      </c>
      <c r="P202" s="87"/>
      <c r="Q202" s="58">
        <v>100000</v>
      </c>
      <c r="R202" s="58">
        <f>O202+Q202</f>
        <v>10597785</v>
      </c>
    </row>
    <row r="203" spans="1:18" s="2" customFormat="1" ht="15.75" customHeight="1" x14ac:dyDescent="0.3">
      <c r="A203" s="27" t="s">
        <v>147</v>
      </c>
      <c r="B203" s="42" t="s">
        <v>35</v>
      </c>
      <c r="C203" s="27">
        <f>SUM(C204:C245)</f>
        <v>6578563</v>
      </c>
      <c r="D203" s="27">
        <f t="shared" ref="D203:E203" si="44">SUM(D204:D244)</f>
        <v>1757060</v>
      </c>
      <c r="E203" s="27">
        <f t="shared" si="44"/>
        <v>0</v>
      </c>
      <c r="F203" s="27">
        <f>SUM(F204:F245)</f>
        <v>2975422</v>
      </c>
      <c r="G203" s="27">
        <f t="shared" ref="G203:L203" si="45">SUM(G204:G244)</f>
        <v>504000</v>
      </c>
      <c r="H203" s="27">
        <f t="shared" si="45"/>
        <v>0</v>
      </c>
      <c r="I203" s="27">
        <f t="shared" si="45"/>
        <v>0</v>
      </c>
      <c r="J203" s="27">
        <f t="shared" si="45"/>
        <v>0</v>
      </c>
      <c r="K203" s="27">
        <f t="shared" si="45"/>
        <v>0</v>
      </c>
      <c r="L203" s="27">
        <f t="shared" si="45"/>
        <v>0</v>
      </c>
      <c r="M203" s="27">
        <f>SUM(M204:M240)</f>
        <v>0</v>
      </c>
      <c r="N203" s="27">
        <f>SUM(N204:N240)</f>
        <v>0</v>
      </c>
      <c r="O203" s="27">
        <f>SUM(O204:O245)</f>
        <v>9553985</v>
      </c>
      <c r="P203" s="58"/>
      <c r="Q203" s="17"/>
      <c r="R203" s="17"/>
    </row>
    <row r="204" spans="1:18" s="10" customFormat="1" ht="15.75" customHeight="1" x14ac:dyDescent="0.3">
      <c r="A204" s="49" t="s">
        <v>298</v>
      </c>
      <c r="B204" s="33" t="s">
        <v>14</v>
      </c>
      <c r="C204" s="37">
        <v>1660000</v>
      </c>
      <c r="D204" s="37"/>
      <c r="E204" s="37"/>
      <c r="F204" s="37">
        <f>11421+13593</f>
        <v>25014</v>
      </c>
      <c r="G204" s="37"/>
      <c r="H204" s="37"/>
      <c r="I204" s="37"/>
      <c r="J204" s="37"/>
      <c r="K204" s="37"/>
      <c r="L204" s="37"/>
      <c r="M204" s="37"/>
      <c r="N204" s="37"/>
      <c r="O204" s="27">
        <f>C204+F204+I204+L204</f>
        <v>1685014</v>
      </c>
      <c r="P204" s="58"/>
      <c r="Q204" s="59"/>
      <c r="R204" s="59"/>
    </row>
    <row r="205" spans="1:18" s="10" customFormat="1" ht="15.75" customHeight="1" x14ac:dyDescent="0.3">
      <c r="A205" s="49" t="s">
        <v>299</v>
      </c>
      <c r="B205" s="33" t="s">
        <v>322</v>
      </c>
      <c r="C205" s="37">
        <v>144000</v>
      </c>
      <c r="D205" s="37"/>
      <c r="E205" s="37"/>
      <c r="F205" s="37">
        <f>100</f>
        <v>100</v>
      </c>
      <c r="G205" s="37"/>
      <c r="H205" s="37"/>
      <c r="I205" s="37"/>
      <c r="J205" s="37"/>
      <c r="K205" s="37"/>
      <c r="L205" s="37"/>
      <c r="M205" s="37"/>
      <c r="N205" s="37"/>
      <c r="O205" s="27">
        <f>C205+F205+I205+L205</f>
        <v>144100</v>
      </c>
      <c r="P205" s="58"/>
      <c r="Q205" s="59"/>
      <c r="R205" s="59"/>
    </row>
    <row r="206" spans="1:18" s="10" customFormat="1" ht="15.75" customHeight="1" x14ac:dyDescent="0.3">
      <c r="A206" s="49" t="s">
        <v>300</v>
      </c>
      <c r="B206" s="33" t="s">
        <v>33</v>
      </c>
      <c r="C206" s="37">
        <v>1030000</v>
      </c>
      <c r="D206" s="37"/>
      <c r="E206" s="37"/>
      <c r="F206" s="37">
        <f>1269+257+141</f>
        <v>1667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1031667</v>
      </c>
      <c r="P206" s="58"/>
      <c r="Q206" s="59"/>
      <c r="R206" s="59"/>
    </row>
    <row r="207" spans="1:18" s="10" customFormat="1" ht="15.75" customHeight="1" x14ac:dyDescent="0.3">
      <c r="A207" s="49" t="s">
        <v>301</v>
      </c>
      <c r="B207" s="33" t="s">
        <v>165</v>
      </c>
      <c r="C207" s="37"/>
      <c r="D207" s="37"/>
      <c r="E207" s="37"/>
      <c r="F207" s="121">
        <f>214700-4400-19100</f>
        <v>191200</v>
      </c>
      <c r="G207" s="37"/>
      <c r="H207" s="37"/>
      <c r="I207" s="37"/>
      <c r="J207" s="37"/>
      <c r="K207" s="37"/>
      <c r="L207" s="37"/>
      <c r="M207" s="37"/>
      <c r="N207" s="37"/>
      <c r="O207" s="27">
        <f t="shared" ref="O207:O246" si="46">C207+F207+I207+L207</f>
        <v>191200</v>
      </c>
      <c r="P207" s="58"/>
      <c r="Q207" s="59"/>
      <c r="R207" s="59"/>
    </row>
    <row r="208" spans="1:18" s="10" customFormat="1" ht="15.75" customHeight="1" x14ac:dyDescent="0.3">
      <c r="A208" s="49" t="s">
        <v>302</v>
      </c>
      <c r="B208" s="45" t="s">
        <v>269</v>
      </c>
      <c r="C208" s="37">
        <v>8000</v>
      </c>
      <c r="D208" s="45"/>
      <c r="E208" s="37"/>
      <c r="F208" s="37">
        <v>157500</v>
      </c>
      <c r="G208" s="37"/>
      <c r="H208" s="37"/>
      <c r="I208" s="45"/>
      <c r="J208" s="45"/>
      <c r="K208" s="45"/>
      <c r="L208" s="45"/>
      <c r="M208" s="45"/>
      <c r="N208" s="45"/>
      <c r="O208" s="27">
        <f>C208+F208+I208+L208</f>
        <v>165500</v>
      </c>
      <c r="P208" s="58"/>
      <c r="Q208" s="59"/>
      <c r="R208" s="59"/>
    </row>
    <row r="209" spans="1:18" s="10" customFormat="1" ht="15.75" customHeight="1" x14ac:dyDescent="0.3">
      <c r="A209" s="49" t="s">
        <v>303</v>
      </c>
      <c r="B209" s="33" t="s">
        <v>163</v>
      </c>
      <c r="C209" s="37"/>
      <c r="D209" s="37"/>
      <c r="E209" s="37"/>
      <c r="F209" s="37">
        <v>98000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si="46"/>
        <v>98000</v>
      </c>
      <c r="P209" s="58"/>
      <c r="Q209" s="59"/>
      <c r="R209" s="59"/>
    </row>
    <row r="210" spans="1:18" s="10" customFormat="1" ht="15.75" customHeight="1" x14ac:dyDescent="0.3">
      <c r="A210" s="49" t="s">
        <v>304</v>
      </c>
      <c r="B210" s="33" t="s">
        <v>34</v>
      </c>
      <c r="C210" s="37"/>
      <c r="D210" s="37"/>
      <c r="E210" s="37"/>
      <c r="F210" s="37">
        <f>382800+2042+2138</f>
        <v>386980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si="46"/>
        <v>386980</v>
      </c>
      <c r="P210" s="58"/>
      <c r="Q210" s="59"/>
      <c r="R210" s="59"/>
    </row>
    <row r="211" spans="1:18" s="10" customFormat="1" ht="15.75" customHeight="1" x14ac:dyDescent="0.3">
      <c r="A211" s="49" t="s">
        <v>323</v>
      </c>
      <c r="B211" s="33" t="s">
        <v>164</v>
      </c>
      <c r="C211" s="37">
        <f>46000-2570</f>
        <v>43430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43430</v>
      </c>
      <c r="P211" s="58"/>
      <c r="Q211" s="59"/>
      <c r="R211" s="59"/>
    </row>
    <row r="212" spans="1:18" s="10" customFormat="1" ht="15.75" customHeight="1" x14ac:dyDescent="0.3">
      <c r="A212" s="49" t="s">
        <v>324</v>
      </c>
      <c r="B212" s="33" t="s">
        <v>183</v>
      </c>
      <c r="C212" s="37"/>
      <c r="D212" s="37"/>
      <c r="E212" s="37"/>
      <c r="F212" s="37">
        <f>946200+140000</f>
        <v>1086200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1086200</v>
      </c>
      <c r="P212" s="58"/>
      <c r="Q212" s="59"/>
      <c r="R212" s="59"/>
    </row>
    <row r="213" spans="1:18" s="8" customFormat="1" ht="45" customHeight="1" x14ac:dyDescent="0.25">
      <c r="A213" s="49" t="s">
        <v>325</v>
      </c>
      <c r="B213" s="65" t="s">
        <v>427</v>
      </c>
      <c r="C213" s="29"/>
      <c r="D213" s="29"/>
      <c r="E213" s="29"/>
      <c r="F213" s="29">
        <v>418000</v>
      </c>
      <c r="G213" s="29">
        <v>405000</v>
      </c>
      <c r="H213" s="29"/>
      <c r="I213" s="29"/>
      <c r="J213" s="29"/>
      <c r="K213" s="29"/>
      <c r="L213" s="29"/>
      <c r="M213" s="29"/>
      <c r="N213" s="29"/>
      <c r="O213" s="27">
        <f t="shared" si="46"/>
        <v>418000</v>
      </c>
      <c r="P213" s="58"/>
      <c r="Q213" s="57"/>
      <c r="R213" s="57"/>
    </row>
    <row r="214" spans="1:18" s="8" customFormat="1" ht="28.5" customHeight="1" x14ac:dyDescent="0.25">
      <c r="A214" s="49" t="s">
        <v>326</v>
      </c>
      <c r="B214" s="65" t="s">
        <v>428</v>
      </c>
      <c r="C214" s="29"/>
      <c r="D214" s="29"/>
      <c r="E214" s="29"/>
      <c r="F214" s="128">
        <f>103500-39000</f>
        <v>64500</v>
      </c>
      <c r="G214" s="29">
        <v>99000</v>
      </c>
      <c r="H214" s="29"/>
      <c r="I214" s="29"/>
      <c r="J214" s="29"/>
      <c r="K214" s="29"/>
      <c r="L214" s="29"/>
      <c r="M214" s="29"/>
      <c r="N214" s="29"/>
      <c r="O214" s="27">
        <f t="shared" si="46"/>
        <v>64500</v>
      </c>
      <c r="P214" s="58"/>
      <c r="Q214" s="57"/>
      <c r="R214" s="57"/>
    </row>
    <row r="215" spans="1:18" s="4" customFormat="1" ht="28.5" customHeight="1" x14ac:dyDescent="0.25">
      <c r="A215" s="49" t="s">
        <v>327</v>
      </c>
      <c r="B215" s="33" t="s">
        <v>578</v>
      </c>
      <c r="C215" s="29">
        <v>170000</v>
      </c>
      <c r="D215" s="29"/>
      <c r="E215" s="29"/>
      <c r="F215" s="29">
        <f>227700+13200</f>
        <v>240900</v>
      </c>
      <c r="G215" s="29"/>
      <c r="H215" s="29"/>
      <c r="I215" s="29"/>
      <c r="J215" s="29"/>
      <c r="K215" s="29"/>
      <c r="L215" s="29"/>
      <c r="M215" s="29"/>
      <c r="N215" s="29"/>
      <c r="O215" s="27">
        <f t="shared" si="46"/>
        <v>410900</v>
      </c>
      <c r="P215" s="58"/>
      <c r="Q215" s="58"/>
      <c r="R215" s="57"/>
    </row>
    <row r="216" spans="1:18" s="8" customFormat="1" ht="15.75" customHeight="1" x14ac:dyDescent="0.25">
      <c r="A216" s="49" t="s">
        <v>328</v>
      </c>
      <c r="B216" s="65" t="s">
        <v>472</v>
      </c>
      <c r="C216" s="29"/>
      <c r="D216" s="29"/>
      <c r="E216" s="29"/>
      <c r="F216" s="29">
        <v>12500</v>
      </c>
      <c r="G216" s="29"/>
      <c r="H216" s="29"/>
      <c r="I216" s="29"/>
      <c r="J216" s="29"/>
      <c r="K216" s="29"/>
      <c r="L216" s="29"/>
      <c r="M216" s="29"/>
      <c r="N216" s="29"/>
      <c r="O216" s="27">
        <f>C216+F216+I216+L216</f>
        <v>12500</v>
      </c>
      <c r="P216" s="58"/>
      <c r="Q216" s="57"/>
      <c r="R216" s="57"/>
    </row>
    <row r="217" spans="1:18" s="8" customFormat="1" ht="15.75" customHeight="1" x14ac:dyDescent="0.25">
      <c r="A217" s="49" t="s">
        <v>375</v>
      </c>
      <c r="B217" s="65" t="s">
        <v>374</v>
      </c>
      <c r="C217" s="29"/>
      <c r="D217" s="29"/>
      <c r="E217" s="29"/>
      <c r="F217" s="29">
        <f>99686-39216-20000</f>
        <v>40470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40470</v>
      </c>
      <c r="P217" s="58"/>
      <c r="Q217" s="57"/>
      <c r="R217" s="57"/>
    </row>
    <row r="218" spans="1:18" s="10" customFormat="1" ht="15.75" customHeight="1" x14ac:dyDescent="0.3">
      <c r="A218" s="49" t="s">
        <v>473</v>
      </c>
      <c r="B218" s="33" t="s">
        <v>429</v>
      </c>
      <c r="C218" s="37">
        <v>14000</v>
      </c>
      <c r="D218" s="37"/>
      <c r="E218" s="37"/>
      <c r="F218" s="37">
        <f>28400-2694</f>
        <v>25706</v>
      </c>
      <c r="G218" s="37"/>
      <c r="H218" s="37"/>
      <c r="I218" s="38"/>
      <c r="J218" s="38"/>
      <c r="K218" s="37"/>
      <c r="L218" s="38"/>
      <c r="M218" s="37"/>
      <c r="N218" s="37"/>
      <c r="O218" s="27">
        <f t="shared" si="46"/>
        <v>39706</v>
      </c>
      <c r="P218" s="58"/>
      <c r="Q218" s="59"/>
      <c r="R218" s="59"/>
    </row>
    <row r="219" spans="1:18" s="10" customFormat="1" ht="15.75" customHeight="1" x14ac:dyDescent="0.3">
      <c r="A219" s="49" t="s">
        <v>474</v>
      </c>
      <c r="B219" s="33" t="s">
        <v>475</v>
      </c>
      <c r="C219" s="37">
        <f>23000+8582</f>
        <v>31582</v>
      </c>
      <c r="D219" s="37"/>
      <c r="E219" s="37"/>
      <c r="F219" s="37">
        <f>51125-3751</f>
        <v>47374</v>
      </c>
      <c r="G219" s="37"/>
      <c r="H219" s="37"/>
      <c r="I219" s="38"/>
      <c r="J219" s="38"/>
      <c r="K219" s="37"/>
      <c r="L219" s="38"/>
      <c r="M219" s="37"/>
      <c r="N219" s="37"/>
      <c r="O219" s="27">
        <f t="shared" si="46"/>
        <v>78956</v>
      </c>
      <c r="P219" s="58"/>
      <c r="Q219" s="59"/>
      <c r="R219" s="59"/>
    </row>
    <row r="220" spans="1:18" s="10" customFormat="1" ht="30" customHeight="1" x14ac:dyDescent="0.3">
      <c r="A220" s="49" t="s">
        <v>329</v>
      </c>
      <c r="B220" s="33" t="s">
        <v>476</v>
      </c>
      <c r="C220" s="37"/>
      <c r="D220" s="37"/>
      <c r="E220" s="37"/>
      <c r="F220" s="37">
        <f>6626+719</f>
        <v>7345</v>
      </c>
      <c r="G220" s="37"/>
      <c r="H220" s="37"/>
      <c r="I220" s="38"/>
      <c r="J220" s="38"/>
      <c r="K220" s="37"/>
      <c r="L220" s="38"/>
      <c r="M220" s="37"/>
      <c r="N220" s="37"/>
      <c r="O220" s="27">
        <f>C220+F220+I220+L220</f>
        <v>7345</v>
      </c>
      <c r="P220" s="58"/>
      <c r="Q220" s="59"/>
      <c r="R220" s="59"/>
    </row>
    <row r="221" spans="1:18" s="10" customFormat="1" ht="28.5" customHeight="1" x14ac:dyDescent="0.3">
      <c r="A221" s="49" t="s">
        <v>330</v>
      </c>
      <c r="B221" s="33" t="s">
        <v>389</v>
      </c>
      <c r="C221" s="37">
        <f>795000+166300</f>
        <v>961300</v>
      </c>
      <c r="D221" s="37"/>
      <c r="E221" s="37"/>
      <c r="F221" s="37">
        <f>6300</f>
        <v>6300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967600</v>
      </c>
      <c r="P221" s="58"/>
      <c r="Q221" s="59"/>
      <c r="R221" s="59"/>
    </row>
    <row r="222" spans="1:18" s="10" customFormat="1" ht="28.5" customHeight="1" x14ac:dyDescent="0.3">
      <c r="A222" s="49" t="s">
        <v>331</v>
      </c>
      <c r="B222" s="33" t="s">
        <v>477</v>
      </c>
      <c r="C222" s="37">
        <v>24000</v>
      </c>
      <c r="D222" s="37"/>
      <c r="E222" s="37"/>
      <c r="F222" s="37"/>
      <c r="G222" s="37"/>
      <c r="H222" s="37"/>
      <c r="I222" s="37"/>
      <c r="J222" s="37"/>
      <c r="K222" s="37"/>
      <c r="L222" s="38"/>
      <c r="M222" s="37"/>
      <c r="N222" s="37"/>
      <c r="O222" s="27">
        <f t="shared" si="46"/>
        <v>24000</v>
      </c>
      <c r="P222" s="58"/>
      <c r="Q222" s="59"/>
      <c r="R222" s="59"/>
    </row>
    <row r="223" spans="1:18" s="4" customFormat="1" ht="15.75" customHeight="1" x14ac:dyDescent="0.25">
      <c r="A223" s="49" t="s">
        <v>332</v>
      </c>
      <c r="B223" s="33" t="s">
        <v>478</v>
      </c>
      <c r="C223" s="29">
        <f>353500-73600</f>
        <v>279900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27">
        <f t="shared" si="46"/>
        <v>279900</v>
      </c>
      <c r="P223" s="58"/>
      <c r="Q223" s="58"/>
      <c r="R223" s="57"/>
    </row>
    <row r="224" spans="1:18" s="4" customFormat="1" ht="45.75" customHeight="1" x14ac:dyDescent="0.25">
      <c r="A224" s="49" t="s">
        <v>333</v>
      </c>
      <c r="B224" s="33" t="s">
        <v>523</v>
      </c>
      <c r="C224" s="29">
        <f>25000+10000+3800+2900</f>
        <v>41700</v>
      </c>
      <c r="D224" s="31"/>
      <c r="E224" s="29"/>
      <c r="F224" s="29">
        <f>27583+10797</f>
        <v>38380</v>
      </c>
      <c r="G224" s="31"/>
      <c r="H224" s="31"/>
      <c r="I224" s="31"/>
      <c r="J224" s="31"/>
      <c r="K224" s="31"/>
      <c r="L224" s="31"/>
      <c r="M224" s="31"/>
      <c r="N224" s="31"/>
      <c r="O224" s="27">
        <f t="shared" si="46"/>
        <v>80080</v>
      </c>
      <c r="P224" s="58"/>
      <c r="Q224" s="58"/>
      <c r="R224" s="57"/>
    </row>
    <row r="225" spans="1:18" s="10" customFormat="1" ht="15.75" customHeight="1" x14ac:dyDescent="0.3">
      <c r="A225" s="49" t="s">
        <v>334</v>
      </c>
      <c r="B225" s="33" t="s">
        <v>181</v>
      </c>
      <c r="C225" s="37">
        <v>1000</v>
      </c>
      <c r="D225" s="37"/>
      <c r="E225" s="37"/>
      <c r="F225" s="38"/>
      <c r="G225" s="37"/>
      <c r="H225" s="37"/>
      <c r="I225" s="38"/>
      <c r="J225" s="38"/>
      <c r="K225" s="37"/>
      <c r="L225" s="38"/>
      <c r="M225" s="37"/>
      <c r="N225" s="37"/>
      <c r="O225" s="27">
        <f t="shared" si="46"/>
        <v>1000</v>
      </c>
      <c r="P225" s="58"/>
      <c r="Q225" s="59"/>
      <c r="R225" s="59"/>
    </row>
    <row r="226" spans="1:18" s="4" customFormat="1" ht="30" customHeight="1" x14ac:dyDescent="0.25">
      <c r="A226" s="49" t="s">
        <v>335</v>
      </c>
      <c r="B226" s="45" t="s">
        <v>438</v>
      </c>
      <c r="C226" s="29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7">
        <f t="shared" si="46"/>
        <v>222000</v>
      </c>
      <c r="P226" s="58"/>
      <c r="Q226" s="57"/>
      <c r="R226" s="57"/>
    </row>
    <row r="227" spans="1:18" s="10" customFormat="1" ht="15.75" customHeight="1" x14ac:dyDescent="0.3">
      <c r="A227" s="49" t="s">
        <v>336</v>
      </c>
      <c r="B227" s="33" t="s">
        <v>157</v>
      </c>
      <c r="C227" s="54">
        <v>11000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11000</v>
      </c>
      <c r="P227" s="58"/>
      <c r="Q227" s="59"/>
      <c r="R227" s="59"/>
    </row>
    <row r="228" spans="1:18" s="10" customFormat="1" ht="15.75" customHeight="1" x14ac:dyDescent="0.3">
      <c r="A228" s="49" t="s">
        <v>337</v>
      </c>
      <c r="B228" s="33" t="s">
        <v>376</v>
      </c>
      <c r="C228" s="37">
        <f>82950-20000</f>
        <v>62950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62950</v>
      </c>
      <c r="P228" s="58"/>
      <c r="Q228" s="59"/>
      <c r="R228" s="59"/>
    </row>
    <row r="229" spans="1:18" s="10" customFormat="1" ht="15.75" customHeight="1" x14ac:dyDescent="0.3">
      <c r="A229" s="49" t="s">
        <v>338</v>
      </c>
      <c r="B229" s="33" t="s">
        <v>268</v>
      </c>
      <c r="C229" s="37">
        <v>2148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2148</v>
      </c>
      <c r="P229" s="58"/>
      <c r="Q229" s="59"/>
      <c r="R229" s="59"/>
    </row>
    <row r="230" spans="1:18" s="10" customFormat="1" ht="45.75" customHeight="1" x14ac:dyDescent="0.3">
      <c r="A230" s="49" t="s">
        <v>339</v>
      </c>
      <c r="B230" s="33" t="s">
        <v>579</v>
      </c>
      <c r="C230" s="37">
        <f>5000+14000</f>
        <v>19000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19000</v>
      </c>
      <c r="P230" s="58"/>
      <c r="Q230" s="59"/>
      <c r="R230" s="59"/>
    </row>
    <row r="231" spans="1:18" s="10" customFormat="1" ht="30.75" customHeight="1" x14ac:dyDescent="0.3">
      <c r="A231" s="49" t="s">
        <v>340</v>
      </c>
      <c r="B231" s="33" t="s">
        <v>184</v>
      </c>
      <c r="C231" s="37">
        <v>23000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>C231+F231+I231+L231</f>
        <v>23000</v>
      </c>
      <c r="P231" s="58"/>
      <c r="Q231" s="59"/>
      <c r="R231" s="59"/>
    </row>
    <row r="232" spans="1:18" s="10" customFormat="1" ht="28.5" customHeight="1" x14ac:dyDescent="0.3">
      <c r="A232" s="49" t="s">
        <v>341</v>
      </c>
      <c r="B232" s="33" t="s">
        <v>566</v>
      </c>
      <c r="C232" s="37">
        <f>187400-20350</f>
        <v>167050</v>
      </c>
      <c r="D232" s="37">
        <v>184150</v>
      </c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167050</v>
      </c>
      <c r="P232" s="58"/>
      <c r="Q232" s="59"/>
      <c r="R232" s="59"/>
    </row>
    <row r="233" spans="1:18" s="10" customFormat="1" ht="30" customHeight="1" x14ac:dyDescent="0.3">
      <c r="A233" s="49" t="s">
        <v>342</v>
      </c>
      <c r="B233" s="60" t="s">
        <v>305</v>
      </c>
      <c r="C233" s="37">
        <f>208800-112521</f>
        <v>96279</v>
      </c>
      <c r="D233" s="37">
        <v>205070</v>
      </c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96279</v>
      </c>
      <c r="P233" s="58"/>
      <c r="Q233" s="59"/>
      <c r="R233" s="59"/>
    </row>
    <row r="234" spans="1:18" s="10" customFormat="1" ht="29.25" customHeight="1" x14ac:dyDescent="0.3">
      <c r="A234" s="49" t="s">
        <v>479</v>
      </c>
      <c r="B234" s="33" t="s">
        <v>182</v>
      </c>
      <c r="C234" s="37">
        <v>601400</v>
      </c>
      <c r="D234" s="37">
        <v>580000</v>
      </c>
      <c r="E234" s="37"/>
      <c r="F234" s="37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601400</v>
      </c>
      <c r="P234" s="58"/>
      <c r="Q234" s="59"/>
      <c r="R234" s="59"/>
    </row>
    <row r="235" spans="1:18" s="10" customFormat="1" ht="30" customHeight="1" x14ac:dyDescent="0.3">
      <c r="A235" s="49" t="s">
        <v>378</v>
      </c>
      <c r="B235" s="33" t="s">
        <v>377</v>
      </c>
      <c r="C235" s="37">
        <v>90700</v>
      </c>
      <c r="D235" s="37">
        <v>22700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90700</v>
      </c>
      <c r="P235" s="58"/>
      <c r="Q235" s="59"/>
      <c r="R235" s="59"/>
    </row>
    <row r="236" spans="1:18" s="10" customFormat="1" ht="29.25" customHeight="1" x14ac:dyDescent="0.3">
      <c r="A236" s="49" t="s">
        <v>430</v>
      </c>
      <c r="B236" s="60" t="s">
        <v>207</v>
      </c>
      <c r="C236" s="37">
        <v>417400</v>
      </c>
      <c r="D236" s="37">
        <v>410140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417400</v>
      </c>
      <c r="P236" s="58"/>
      <c r="Q236" s="59"/>
      <c r="R236" s="59"/>
    </row>
    <row r="237" spans="1:18" s="10" customFormat="1" ht="45.75" customHeight="1" x14ac:dyDescent="0.3">
      <c r="A237" s="49" t="s">
        <v>480</v>
      </c>
      <c r="B237" s="33" t="s">
        <v>188</v>
      </c>
      <c r="C237" s="37">
        <v>76200</v>
      </c>
      <c r="D237" s="37">
        <v>60000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>C237+F237+I237+L237</f>
        <v>76200</v>
      </c>
      <c r="P237" s="58"/>
      <c r="Q237" s="59"/>
      <c r="R237" s="59"/>
    </row>
    <row r="238" spans="1:18" s="10" customFormat="1" ht="29.25" customHeight="1" x14ac:dyDescent="0.3">
      <c r="A238" s="49" t="s">
        <v>481</v>
      </c>
      <c r="B238" s="60" t="s">
        <v>482</v>
      </c>
      <c r="C238" s="37">
        <f>137400+30520</f>
        <v>167920</v>
      </c>
      <c r="D238" s="37">
        <v>135000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>C238+F238+I238+L238</f>
        <v>167920</v>
      </c>
      <c r="P238" s="58"/>
      <c r="Q238" s="59"/>
      <c r="R238" s="59"/>
    </row>
    <row r="239" spans="1:18" s="10" customFormat="1" ht="29.25" customHeight="1" x14ac:dyDescent="0.3">
      <c r="A239" s="49" t="s">
        <v>483</v>
      </c>
      <c r="B239" s="60" t="s">
        <v>484</v>
      </c>
      <c r="C239" s="37">
        <f>142000-37000-43187+102351</f>
        <v>164164</v>
      </c>
      <c r="D239" s="37">
        <v>120000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164164</v>
      </c>
      <c r="P239" s="58"/>
      <c r="Q239" s="59"/>
      <c r="R239" s="59"/>
    </row>
    <row r="240" spans="1:18" s="10" customFormat="1" ht="30" customHeight="1" x14ac:dyDescent="0.3">
      <c r="A240" s="49" t="s">
        <v>485</v>
      </c>
      <c r="B240" s="33" t="s">
        <v>486</v>
      </c>
      <c r="C240" s="37">
        <v>48440</v>
      </c>
      <c r="D240" s="37">
        <v>40000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 t="shared" si="46"/>
        <v>48440</v>
      </c>
      <c r="P240" s="58"/>
      <c r="Q240" s="59"/>
      <c r="R240" s="59"/>
    </row>
    <row r="241" spans="1:22" s="10" customFormat="1" ht="33" customHeight="1" x14ac:dyDescent="0.3">
      <c r="A241" s="49" t="s">
        <v>431</v>
      </c>
      <c r="B241" s="33" t="s">
        <v>487</v>
      </c>
      <c r="C241" s="37"/>
      <c r="D241" s="37"/>
      <c r="E241" s="37"/>
      <c r="F241" s="37">
        <v>6750</v>
      </c>
      <c r="G241" s="37"/>
      <c r="H241" s="37"/>
      <c r="I241" s="38"/>
      <c r="J241" s="38"/>
      <c r="K241" s="37"/>
      <c r="L241" s="38"/>
      <c r="M241" s="37"/>
      <c r="N241" s="37"/>
      <c r="O241" s="27">
        <f t="shared" si="46"/>
        <v>6750</v>
      </c>
      <c r="P241" s="58"/>
      <c r="R241" s="103"/>
      <c r="U241" s="103"/>
      <c r="V241" s="103"/>
    </row>
    <row r="242" spans="1:22" s="10" customFormat="1" ht="30.75" customHeight="1" x14ac:dyDescent="0.3">
      <c r="A242" s="49" t="s">
        <v>562</v>
      </c>
      <c r="B242" s="33" t="s">
        <v>432</v>
      </c>
      <c r="C242" s="37"/>
      <c r="D242" s="37"/>
      <c r="E242" s="37"/>
      <c r="F242" s="37">
        <v>445</v>
      </c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445</v>
      </c>
      <c r="P242" s="58"/>
      <c r="R242" s="103"/>
      <c r="U242" s="103"/>
      <c r="V242" s="103"/>
    </row>
    <row r="243" spans="1:22" s="10" customFormat="1" ht="30.75" customHeight="1" x14ac:dyDescent="0.3">
      <c r="A243" s="49" t="s">
        <v>565</v>
      </c>
      <c r="B243" s="33" t="s">
        <v>563</v>
      </c>
      <c r="C243" s="37"/>
      <c r="D243" s="37"/>
      <c r="E243" s="37"/>
      <c r="F243" s="37">
        <v>18391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18391</v>
      </c>
      <c r="P243" s="58"/>
      <c r="R243" s="103"/>
      <c r="U243" s="103"/>
      <c r="V243" s="103"/>
    </row>
    <row r="244" spans="1:22" s="10" customFormat="1" ht="15.6" x14ac:dyDescent="0.3">
      <c r="A244" s="49" t="s">
        <v>567</v>
      </c>
      <c r="B244" s="33" t="s">
        <v>564</v>
      </c>
      <c r="C244" s="37"/>
      <c r="D244" s="37"/>
      <c r="E244" s="37"/>
      <c r="F244" s="37">
        <v>100000</v>
      </c>
      <c r="G244" s="37"/>
      <c r="H244" s="37"/>
      <c r="I244" s="38"/>
      <c r="J244" s="38"/>
      <c r="K244" s="37"/>
      <c r="L244" s="38"/>
      <c r="M244" s="37"/>
      <c r="N244" s="37"/>
      <c r="O244" s="27">
        <f>C244+F244+I244+L244</f>
        <v>100000</v>
      </c>
      <c r="P244" s="58"/>
      <c r="R244" s="103"/>
      <c r="U244" s="103"/>
      <c r="V244" s="103"/>
    </row>
    <row r="245" spans="1:22" s="10" customFormat="1" ht="15.6" x14ac:dyDescent="0.3">
      <c r="A245" s="49" t="s">
        <v>585</v>
      </c>
      <c r="B245" s="122" t="s">
        <v>586</v>
      </c>
      <c r="C245" s="37"/>
      <c r="D245" s="37"/>
      <c r="E245" s="37"/>
      <c r="F245" s="121">
        <v>1700</v>
      </c>
      <c r="G245" s="37"/>
      <c r="H245" s="37"/>
      <c r="I245" s="38"/>
      <c r="J245" s="38"/>
      <c r="K245" s="37"/>
      <c r="L245" s="38"/>
      <c r="M245" s="37"/>
      <c r="N245" s="37"/>
      <c r="O245" s="27">
        <f>C245+F245+I245+L245</f>
        <v>1700</v>
      </c>
      <c r="P245" s="58"/>
      <c r="R245" s="103"/>
      <c r="U245" s="103"/>
      <c r="V245" s="103"/>
    </row>
    <row r="246" spans="1:22" s="4" customFormat="1" ht="18" customHeight="1" x14ac:dyDescent="0.25">
      <c r="A246" s="27" t="s">
        <v>148</v>
      </c>
      <c r="B246" s="42" t="s">
        <v>13</v>
      </c>
      <c r="C246" s="123">
        <f>246000-142000+142000+9700+24000</f>
        <v>279700</v>
      </c>
      <c r="D246" s="27">
        <f>242500-120000+120000</f>
        <v>242500</v>
      </c>
      <c r="E246" s="27"/>
      <c r="F246" s="27">
        <f>16000-5000</f>
        <v>11000</v>
      </c>
      <c r="G246" s="27">
        <f>15770-4920</f>
        <v>10850</v>
      </c>
      <c r="H246" s="27"/>
      <c r="I246" s="27"/>
      <c r="J246" s="27"/>
      <c r="K246" s="27"/>
      <c r="L246" s="27">
        <v>237000</v>
      </c>
      <c r="M246" s="27">
        <v>147511</v>
      </c>
      <c r="N246" s="27"/>
      <c r="O246" s="27">
        <f t="shared" si="46"/>
        <v>527700</v>
      </c>
      <c r="P246" s="58"/>
      <c r="Q246" s="57"/>
      <c r="R246" s="57"/>
    </row>
    <row r="247" spans="1:22" s="4" customFormat="1" ht="16.5" customHeight="1" x14ac:dyDescent="0.25">
      <c r="A247" s="27" t="s">
        <v>149</v>
      </c>
      <c r="B247" s="42" t="s">
        <v>306</v>
      </c>
      <c r="C247" s="27">
        <f>152000+107000+43187-2900</f>
        <v>299287</v>
      </c>
      <c r="D247" s="27">
        <f>240000-120000</f>
        <v>120000</v>
      </c>
      <c r="E247" s="27"/>
      <c r="F247" s="27">
        <f>20000+545+4444</f>
        <v>24989</v>
      </c>
      <c r="G247" s="27">
        <f>14790+4920</f>
        <v>19710</v>
      </c>
      <c r="H247" s="27"/>
      <c r="I247" s="27"/>
      <c r="J247" s="27"/>
      <c r="K247" s="27"/>
      <c r="L247" s="27">
        <f>4800+181374-3770-90580</f>
        <v>91824</v>
      </c>
      <c r="M247" s="27">
        <v>178782</v>
      </c>
      <c r="N247" s="27"/>
      <c r="O247" s="27">
        <f>C247+F247+I247+L247</f>
        <v>416100</v>
      </c>
      <c r="P247" s="58"/>
      <c r="Q247" s="57"/>
      <c r="R247" s="57"/>
    </row>
    <row r="248" spans="1:22" s="7" customFormat="1" ht="18" customHeight="1" x14ac:dyDescent="0.25">
      <c r="A248" s="27"/>
      <c r="B248" s="50" t="s">
        <v>25</v>
      </c>
      <c r="C248" s="63">
        <f t="shared" ref="C248:N248" si="47">C12+C41+C48+C56+C88+C113+C144+C202</f>
        <v>29234138</v>
      </c>
      <c r="D248" s="63">
        <f t="shared" si="47"/>
        <v>16004721</v>
      </c>
      <c r="E248" s="63">
        <f t="shared" si="47"/>
        <v>0</v>
      </c>
      <c r="F248" s="63">
        <f t="shared" si="47"/>
        <v>7054133</v>
      </c>
      <c r="G248" s="63">
        <f t="shared" si="47"/>
        <v>2075585</v>
      </c>
      <c r="H248" s="63">
        <f t="shared" si="47"/>
        <v>195370</v>
      </c>
      <c r="I248" s="63">
        <f>I12+I41+I48+I56+I88+I113+I144+I202</f>
        <v>12645800</v>
      </c>
      <c r="J248" s="63">
        <f t="shared" si="47"/>
        <v>10193706</v>
      </c>
      <c r="K248" s="63">
        <f t="shared" si="47"/>
        <v>0</v>
      </c>
      <c r="L248" s="63">
        <f t="shared" si="47"/>
        <v>2715211</v>
      </c>
      <c r="M248" s="63">
        <f t="shared" si="47"/>
        <v>374423</v>
      </c>
      <c r="N248" s="63">
        <f t="shared" si="47"/>
        <v>0</v>
      </c>
      <c r="O248" s="63">
        <f>O12+O41+O48+O56+O88+O113+O144+O202</f>
        <v>51649282</v>
      </c>
      <c r="P248" s="58">
        <v>930000</v>
      </c>
      <c r="Q248" s="89"/>
      <c r="R248" s="27"/>
    </row>
    <row r="249" spans="1:22" s="10" customFormat="1" ht="15.75" customHeight="1" x14ac:dyDescent="0.3">
      <c r="A249" s="27" t="s">
        <v>150</v>
      </c>
      <c r="B249" s="42" t="s">
        <v>24</v>
      </c>
      <c r="C249" s="38">
        <f>SUM(C251,C250)</f>
        <v>1083664</v>
      </c>
      <c r="D249" s="37"/>
      <c r="E249" s="37"/>
      <c r="F249" s="38">
        <f>SUM(F251)</f>
        <v>0</v>
      </c>
      <c r="G249" s="37"/>
      <c r="H249" s="37"/>
      <c r="I249" s="38"/>
      <c r="J249" s="38"/>
      <c r="K249" s="37"/>
      <c r="L249" s="38"/>
      <c r="M249" s="37"/>
      <c r="N249" s="37"/>
      <c r="O249" s="27">
        <f>C249+F249+I249+L249</f>
        <v>1083664</v>
      </c>
      <c r="P249" s="58"/>
      <c r="Q249" s="59"/>
      <c r="R249" s="59"/>
    </row>
    <row r="250" spans="1:22" s="7" customFormat="1" ht="18" customHeight="1" x14ac:dyDescent="0.25">
      <c r="A250" s="66" t="s">
        <v>343</v>
      </c>
      <c r="B250" s="45" t="s">
        <v>199</v>
      </c>
      <c r="C250" s="29">
        <f>927100-25000</f>
        <v>902100</v>
      </c>
      <c r="D250" s="31"/>
      <c r="E250" s="29"/>
      <c r="F250" s="31"/>
      <c r="G250" s="31"/>
      <c r="H250" s="31"/>
      <c r="I250" s="31"/>
      <c r="J250" s="31"/>
      <c r="K250" s="31"/>
      <c r="L250" s="31"/>
      <c r="M250" s="31"/>
      <c r="N250" s="31"/>
      <c r="O250" s="27">
        <f>C250+F250+I250+L250</f>
        <v>902100</v>
      </c>
      <c r="P250" s="58"/>
      <c r="Q250" s="58"/>
      <c r="R250" s="58"/>
    </row>
    <row r="251" spans="1:22" s="7" customFormat="1" ht="18" customHeight="1" x14ac:dyDescent="0.25">
      <c r="A251" s="66" t="s">
        <v>343</v>
      </c>
      <c r="B251" s="45" t="s">
        <v>488</v>
      </c>
      <c r="C251" s="29">
        <f>156564+25000</f>
        <v>181564</v>
      </c>
      <c r="D251" s="31"/>
      <c r="E251" s="29"/>
      <c r="F251" s="31"/>
      <c r="G251" s="31"/>
      <c r="H251" s="31"/>
      <c r="I251" s="31"/>
      <c r="J251" s="31"/>
      <c r="K251" s="31"/>
      <c r="L251" s="31"/>
      <c r="M251" s="31"/>
      <c r="N251" s="31"/>
      <c r="O251" s="27">
        <f>C251+F251+I251+L251</f>
        <v>181564</v>
      </c>
      <c r="P251" s="58"/>
      <c r="Q251" s="58"/>
      <c r="R251" s="58"/>
    </row>
    <row r="252" spans="1:22" s="2" customFormat="1" ht="18.75" customHeight="1" x14ac:dyDescent="0.3">
      <c r="A252" s="41"/>
      <c r="B252" s="32"/>
      <c r="C252" s="1"/>
      <c r="F252" s="9"/>
      <c r="I252" s="9"/>
      <c r="J252" s="9"/>
      <c r="K252" s="7"/>
      <c r="L252" s="9"/>
      <c r="O252" s="1"/>
      <c r="P252" s="1"/>
      <c r="Q252" s="17"/>
      <c r="R252" s="17"/>
    </row>
    <row r="253" spans="1:22" s="7" customFormat="1" ht="15" customHeight="1" x14ac:dyDescent="0.25">
      <c r="A253" s="41"/>
      <c r="B253" s="32"/>
      <c r="C253" s="9"/>
      <c r="F253" s="9"/>
      <c r="I253" s="9"/>
      <c r="J253" s="9"/>
      <c r="L253" s="9"/>
      <c r="Q253" s="58"/>
      <c r="R253" s="58"/>
    </row>
    <row r="254" spans="1:22" s="7" customFormat="1" ht="15" customHeight="1" x14ac:dyDescent="0.25">
      <c r="A254" s="41"/>
      <c r="B254" s="32"/>
      <c r="C254" s="81"/>
      <c r="D254" s="82"/>
      <c r="E254" s="82"/>
      <c r="F254" s="81"/>
      <c r="I254" s="9"/>
      <c r="J254" s="9"/>
      <c r="L254" s="9"/>
      <c r="Q254" s="58"/>
      <c r="R254" s="58"/>
    </row>
    <row r="255" spans="1:22" s="7" customFormat="1" ht="15" customHeight="1" x14ac:dyDescent="0.25">
      <c r="A255" s="41"/>
      <c r="B255" s="32"/>
      <c r="C255" s="9"/>
      <c r="F255" s="9"/>
      <c r="I255" s="9"/>
      <c r="J255" s="9"/>
      <c r="L255" s="9"/>
      <c r="Q255" s="58"/>
      <c r="R255" s="58"/>
    </row>
  </sheetData>
  <mergeCells count="13">
    <mergeCell ref="B47:O47"/>
    <mergeCell ref="B87:O87"/>
    <mergeCell ref="B112:O112"/>
    <mergeCell ref="B143:O143"/>
    <mergeCell ref="B201:O201"/>
    <mergeCell ref="B55:O55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21" workbookViewId="0">
      <selection activeCell="C25" sqref="C25"/>
    </sheetView>
  </sheetViews>
  <sheetFormatPr defaultRowHeight="13.2" x14ac:dyDescent="0.25"/>
  <cols>
    <col min="1" max="1" width="8.33203125" style="126" customWidth="1"/>
    <col min="2" max="2" width="65.6640625" style="15" customWidth="1"/>
    <col min="3" max="3" width="15.88671875" style="15" customWidth="1"/>
    <col min="4" max="4" width="3.6640625" style="15" customWidth="1"/>
    <col min="5" max="254" width="9.109375" style="15"/>
    <col min="255" max="255" width="8.33203125" style="15" customWidth="1"/>
    <col min="256" max="256" width="65.6640625" style="15" customWidth="1"/>
    <col min="257" max="257" width="15.88671875" style="15" customWidth="1"/>
    <col min="258" max="258" width="3.6640625" style="15" customWidth="1"/>
    <col min="259" max="510" width="9.109375" style="15"/>
    <col min="511" max="511" width="8.33203125" style="15" customWidth="1"/>
    <col min="512" max="512" width="65.6640625" style="15" customWidth="1"/>
    <col min="513" max="513" width="15.88671875" style="15" customWidth="1"/>
    <col min="514" max="514" width="3.6640625" style="15" customWidth="1"/>
    <col min="515" max="766" width="9.109375" style="15"/>
    <col min="767" max="767" width="8.33203125" style="15" customWidth="1"/>
    <col min="768" max="768" width="65.6640625" style="15" customWidth="1"/>
    <col min="769" max="769" width="15.88671875" style="15" customWidth="1"/>
    <col min="770" max="770" width="3.6640625" style="15" customWidth="1"/>
    <col min="771" max="1022" width="9.109375" style="15"/>
    <col min="1023" max="1023" width="8.33203125" style="15" customWidth="1"/>
    <col min="1024" max="1024" width="65.6640625" style="15" customWidth="1"/>
    <col min="1025" max="1025" width="15.88671875" style="15" customWidth="1"/>
    <col min="1026" max="1026" width="3.6640625" style="15" customWidth="1"/>
    <col min="1027" max="1278" width="9.109375" style="15"/>
    <col min="1279" max="1279" width="8.33203125" style="15" customWidth="1"/>
    <col min="1280" max="1280" width="65.6640625" style="15" customWidth="1"/>
    <col min="1281" max="1281" width="15.88671875" style="15" customWidth="1"/>
    <col min="1282" max="1282" width="3.6640625" style="15" customWidth="1"/>
    <col min="1283" max="1534" width="9.109375" style="15"/>
    <col min="1535" max="1535" width="8.33203125" style="15" customWidth="1"/>
    <col min="1536" max="1536" width="65.6640625" style="15" customWidth="1"/>
    <col min="1537" max="1537" width="15.88671875" style="15" customWidth="1"/>
    <col min="1538" max="1538" width="3.6640625" style="15" customWidth="1"/>
    <col min="1539" max="1790" width="9.109375" style="15"/>
    <col min="1791" max="1791" width="8.33203125" style="15" customWidth="1"/>
    <col min="1792" max="1792" width="65.6640625" style="15" customWidth="1"/>
    <col min="1793" max="1793" width="15.88671875" style="15" customWidth="1"/>
    <col min="1794" max="1794" width="3.6640625" style="15" customWidth="1"/>
    <col min="1795" max="2046" width="9.109375" style="15"/>
    <col min="2047" max="2047" width="8.33203125" style="15" customWidth="1"/>
    <col min="2048" max="2048" width="65.6640625" style="15" customWidth="1"/>
    <col min="2049" max="2049" width="15.88671875" style="15" customWidth="1"/>
    <col min="2050" max="2050" width="3.6640625" style="15" customWidth="1"/>
    <col min="2051" max="2302" width="9.109375" style="15"/>
    <col min="2303" max="2303" width="8.33203125" style="15" customWidth="1"/>
    <col min="2304" max="2304" width="65.6640625" style="15" customWidth="1"/>
    <col min="2305" max="2305" width="15.88671875" style="15" customWidth="1"/>
    <col min="2306" max="2306" width="3.6640625" style="15" customWidth="1"/>
    <col min="2307" max="2558" width="9.109375" style="15"/>
    <col min="2559" max="2559" width="8.33203125" style="15" customWidth="1"/>
    <col min="2560" max="2560" width="65.6640625" style="15" customWidth="1"/>
    <col min="2561" max="2561" width="15.88671875" style="15" customWidth="1"/>
    <col min="2562" max="2562" width="3.6640625" style="15" customWidth="1"/>
    <col min="2563" max="2814" width="9.109375" style="15"/>
    <col min="2815" max="2815" width="8.33203125" style="15" customWidth="1"/>
    <col min="2816" max="2816" width="65.6640625" style="15" customWidth="1"/>
    <col min="2817" max="2817" width="15.88671875" style="15" customWidth="1"/>
    <col min="2818" max="2818" width="3.6640625" style="15" customWidth="1"/>
    <col min="2819" max="3070" width="9.109375" style="15"/>
    <col min="3071" max="3071" width="8.33203125" style="15" customWidth="1"/>
    <col min="3072" max="3072" width="65.6640625" style="15" customWidth="1"/>
    <col min="3073" max="3073" width="15.88671875" style="15" customWidth="1"/>
    <col min="3074" max="3074" width="3.6640625" style="15" customWidth="1"/>
    <col min="3075" max="3326" width="9.109375" style="15"/>
    <col min="3327" max="3327" width="8.33203125" style="15" customWidth="1"/>
    <col min="3328" max="3328" width="65.6640625" style="15" customWidth="1"/>
    <col min="3329" max="3329" width="15.88671875" style="15" customWidth="1"/>
    <col min="3330" max="3330" width="3.6640625" style="15" customWidth="1"/>
    <col min="3331" max="3582" width="9.109375" style="15"/>
    <col min="3583" max="3583" width="8.33203125" style="15" customWidth="1"/>
    <col min="3584" max="3584" width="65.6640625" style="15" customWidth="1"/>
    <col min="3585" max="3585" width="15.88671875" style="15" customWidth="1"/>
    <col min="3586" max="3586" width="3.6640625" style="15" customWidth="1"/>
    <col min="3587" max="3838" width="9.109375" style="15"/>
    <col min="3839" max="3839" width="8.33203125" style="15" customWidth="1"/>
    <col min="3840" max="3840" width="65.6640625" style="15" customWidth="1"/>
    <col min="3841" max="3841" width="15.88671875" style="15" customWidth="1"/>
    <col min="3842" max="3842" width="3.6640625" style="15" customWidth="1"/>
    <col min="3843" max="4094" width="9.109375" style="15"/>
    <col min="4095" max="4095" width="8.33203125" style="15" customWidth="1"/>
    <col min="4096" max="4096" width="65.6640625" style="15" customWidth="1"/>
    <col min="4097" max="4097" width="15.88671875" style="15" customWidth="1"/>
    <col min="4098" max="4098" width="3.6640625" style="15" customWidth="1"/>
    <col min="4099" max="4350" width="9.109375" style="15"/>
    <col min="4351" max="4351" width="8.33203125" style="15" customWidth="1"/>
    <col min="4352" max="4352" width="65.6640625" style="15" customWidth="1"/>
    <col min="4353" max="4353" width="15.88671875" style="15" customWidth="1"/>
    <col min="4354" max="4354" width="3.6640625" style="15" customWidth="1"/>
    <col min="4355" max="4606" width="9.109375" style="15"/>
    <col min="4607" max="4607" width="8.33203125" style="15" customWidth="1"/>
    <col min="4608" max="4608" width="65.6640625" style="15" customWidth="1"/>
    <col min="4609" max="4609" width="15.88671875" style="15" customWidth="1"/>
    <col min="4610" max="4610" width="3.6640625" style="15" customWidth="1"/>
    <col min="4611" max="4862" width="9.109375" style="15"/>
    <col min="4863" max="4863" width="8.33203125" style="15" customWidth="1"/>
    <col min="4864" max="4864" width="65.6640625" style="15" customWidth="1"/>
    <col min="4865" max="4865" width="15.88671875" style="15" customWidth="1"/>
    <col min="4866" max="4866" width="3.6640625" style="15" customWidth="1"/>
    <col min="4867" max="5118" width="9.109375" style="15"/>
    <col min="5119" max="5119" width="8.33203125" style="15" customWidth="1"/>
    <col min="5120" max="5120" width="65.6640625" style="15" customWidth="1"/>
    <col min="5121" max="5121" width="15.88671875" style="15" customWidth="1"/>
    <col min="5122" max="5122" width="3.6640625" style="15" customWidth="1"/>
    <col min="5123" max="5374" width="9.109375" style="15"/>
    <col min="5375" max="5375" width="8.33203125" style="15" customWidth="1"/>
    <col min="5376" max="5376" width="65.6640625" style="15" customWidth="1"/>
    <col min="5377" max="5377" width="15.88671875" style="15" customWidth="1"/>
    <col min="5378" max="5378" width="3.6640625" style="15" customWidth="1"/>
    <col min="5379" max="5630" width="9.109375" style="15"/>
    <col min="5631" max="5631" width="8.33203125" style="15" customWidth="1"/>
    <col min="5632" max="5632" width="65.6640625" style="15" customWidth="1"/>
    <col min="5633" max="5633" width="15.88671875" style="15" customWidth="1"/>
    <col min="5634" max="5634" width="3.6640625" style="15" customWidth="1"/>
    <col min="5635" max="5886" width="9.109375" style="15"/>
    <col min="5887" max="5887" width="8.33203125" style="15" customWidth="1"/>
    <col min="5888" max="5888" width="65.6640625" style="15" customWidth="1"/>
    <col min="5889" max="5889" width="15.88671875" style="15" customWidth="1"/>
    <col min="5890" max="5890" width="3.6640625" style="15" customWidth="1"/>
    <col min="5891" max="6142" width="9.109375" style="15"/>
    <col min="6143" max="6143" width="8.33203125" style="15" customWidth="1"/>
    <col min="6144" max="6144" width="65.6640625" style="15" customWidth="1"/>
    <col min="6145" max="6145" width="15.88671875" style="15" customWidth="1"/>
    <col min="6146" max="6146" width="3.6640625" style="15" customWidth="1"/>
    <col min="6147" max="6398" width="9.109375" style="15"/>
    <col min="6399" max="6399" width="8.33203125" style="15" customWidth="1"/>
    <col min="6400" max="6400" width="65.6640625" style="15" customWidth="1"/>
    <col min="6401" max="6401" width="15.88671875" style="15" customWidth="1"/>
    <col min="6402" max="6402" width="3.6640625" style="15" customWidth="1"/>
    <col min="6403" max="6654" width="9.109375" style="15"/>
    <col min="6655" max="6655" width="8.33203125" style="15" customWidth="1"/>
    <col min="6656" max="6656" width="65.6640625" style="15" customWidth="1"/>
    <col min="6657" max="6657" width="15.88671875" style="15" customWidth="1"/>
    <col min="6658" max="6658" width="3.6640625" style="15" customWidth="1"/>
    <col min="6659" max="6910" width="9.109375" style="15"/>
    <col min="6911" max="6911" width="8.33203125" style="15" customWidth="1"/>
    <col min="6912" max="6912" width="65.6640625" style="15" customWidth="1"/>
    <col min="6913" max="6913" width="15.88671875" style="15" customWidth="1"/>
    <col min="6914" max="6914" width="3.6640625" style="15" customWidth="1"/>
    <col min="6915" max="7166" width="9.109375" style="15"/>
    <col min="7167" max="7167" width="8.33203125" style="15" customWidth="1"/>
    <col min="7168" max="7168" width="65.6640625" style="15" customWidth="1"/>
    <col min="7169" max="7169" width="15.88671875" style="15" customWidth="1"/>
    <col min="7170" max="7170" width="3.6640625" style="15" customWidth="1"/>
    <col min="7171" max="7422" width="9.109375" style="15"/>
    <col min="7423" max="7423" width="8.33203125" style="15" customWidth="1"/>
    <col min="7424" max="7424" width="65.6640625" style="15" customWidth="1"/>
    <col min="7425" max="7425" width="15.88671875" style="15" customWidth="1"/>
    <col min="7426" max="7426" width="3.6640625" style="15" customWidth="1"/>
    <col min="7427" max="7678" width="9.109375" style="15"/>
    <col min="7679" max="7679" width="8.33203125" style="15" customWidth="1"/>
    <col min="7680" max="7680" width="65.6640625" style="15" customWidth="1"/>
    <col min="7681" max="7681" width="15.88671875" style="15" customWidth="1"/>
    <col min="7682" max="7682" width="3.6640625" style="15" customWidth="1"/>
    <col min="7683" max="7934" width="9.109375" style="15"/>
    <col min="7935" max="7935" width="8.33203125" style="15" customWidth="1"/>
    <col min="7936" max="7936" width="65.6640625" style="15" customWidth="1"/>
    <col min="7937" max="7937" width="15.88671875" style="15" customWidth="1"/>
    <col min="7938" max="7938" width="3.6640625" style="15" customWidth="1"/>
    <col min="7939" max="8190" width="9.109375" style="15"/>
    <col min="8191" max="8191" width="8.33203125" style="15" customWidth="1"/>
    <col min="8192" max="8192" width="65.6640625" style="15" customWidth="1"/>
    <col min="8193" max="8193" width="15.88671875" style="15" customWidth="1"/>
    <col min="8194" max="8194" width="3.6640625" style="15" customWidth="1"/>
    <col min="8195" max="8446" width="9.109375" style="15"/>
    <col min="8447" max="8447" width="8.33203125" style="15" customWidth="1"/>
    <col min="8448" max="8448" width="65.6640625" style="15" customWidth="1"/>
    <col min="8449" max="8449" width="15.88671875" style="15" customWidth="1"/>
    <col min="8450" max="8450" width="3.6640625" style="15" customWidth="1"/>
    <col min="8451" max="8702" width="9.109375" style="15"/>
    <col min="8703" max="8703" width="8.33203125" style="15" customWidth="1"/>
    <col min="8704" max="8704" width="65.6640625" style="15" customWidth="1"/>
    <col min="8705" max="8705" width="15.88671875" style="15" customWidth="1"/>
    <col min="8706" max="8706" width="3.6640625" style="15" customWidth="1"/>
    <col min="8707" max="8958" width="9.109375" style="15"/>
    <col min="8959" max="8959" width="8.33203125" style="15" customWidth="1"/>
    <col min="8960" max="8960" width="65.6640625" style="15" customWidth="1"/>
    <col min="8961" max="8961" width="15.88671875" style="15" customWidth="1"/>
    <col min="8962" max="8962" width="3.6640625" style="15" customWidth="1"/>
    <col min="8963" max="9214" width="9.109375" style="15"/>
    <col min="9215" max="9215" width="8.33203125" style="15" customWidth="1"/>
    <col min="9216" max="9216" width="65.6640625" style="15" customWidth="1"/>
    <col min="9217" max="9217" width="15.88671875" style="15" customWidth="1"/>
    <col min="9218" max="9218" width="3.6640625" style="15" customWidth="1"/>
    <col min="9219" max="9470" width="9.109375" style="15"/>
    <col min="9471" max="9471" width="8.33203125" style="15" customWidth="1"/>
    <col min="9472" max="9472" width="65.6640625" style="15" customWidth="1"/>
    <col min="9473" max="9473" width="15.88671875" style="15" customWidth="1"/>
    <col min="9474" max="9474" width="3.6640625" style="15" customWidth="1"/>
    <col min="9475" max="9726" width="9.109375" style="15"/>
    <col min="9727" max="9727" width="8.33203125" style="15" customWidth="1"/>
    <col min="9728" max="9728" width="65.6640625" style="15" customWidth="1"/>
    <col min="9729" max="9729" width="15.88671875" style="15" customWidth="1"/>
    <col min="9730" max="9730" width="3.6640625" style="15" customWidth="1"/>
    <col min="9731" max="9982" width="9.109375" style="15"/>
    <col min="9983" max="9983" width="8.33203125" style="15" customWidth="1"/>
    <col min="9984" max="9984" width="65.6640625" style="15" customWidth="1"/>
    <col min="9985" max="9985" width="15.88671875" style="15" customWidth="1"/>
    <col min="9986" max="9986" width="3.6640625" style="15" customWidth="1"/>
    <col min="9987" max="10238" width="9.109375" style="15"/>
    <col min="10239" max="10239" width="8.33203125" style="15" customWidth="1"/>
    <col min="10240" max="10240" width="65.6640625" style="15" customWidth="1"/>
    <col min="10241" max="10241" width="15.88671875" style="15" customWidth="1"/>
    <col min="10242" max="10242" width="3.6640625" style="15" customWidth="1"/>
    <col min="10243" max="10494" width="9.109375" style="15"/>
    <col min="10495" max="10495" width="8.33203125" style="15" customWidth="1"/>
    <col min="10496" max="10496" width="65.6640625" style="15" customWidth="1"/>
    <col min="10497" max="10497" width="15.88671875" style="15" customWidth="1"/>
    <col min="10498" max="10498" width="3.6640625" style="15" customWidth="1"/>
    <col min="10499" max="10750" width="9.109375" style="15"/>
    <col min="10751" max="10751" width="8.33203125" style="15" customWidth="1"/>
    <col min="10752" max="10752" width="65.6640625" style="15" customWidth="1"/>
    <col min="10753" max="10753" width="15.88671875" style="15" customWidth="1"/>
    <col min="10754" max="10754" width="3.6640625" style="15" customWidth="1"/>
    <col min="10755" max="11006" width="9.109375" style="15"/>
    <col min="11007" max="11007" width="8.33203125" style="15" customWidth="1"/>
    <col min="11008" max="11008" width="65.6640625" style="15" customWidth="1"/>
    <col min="11009" max="11009" width="15.88671875" style="15" customWidth="1"/>
    <col min="11010" max="11010" width="3.6640625" style="15" customWidth="1"/>
    <col min="11011" max="11262" width="9.109375" style="15"/>
    <col min="11263" max="11263" width="8.33203125" style="15" customWidth="1"/>
    <col min="11264" max="11264" width="65.6640625" style="15" customWidth="1"/>
    <col min="11265" max="11265" width="15.88671875" style="15" customWidth="1"/>
    <col min="11266" max="11266" width="3.6640625" style="15" customWidth="1"/>
    <col min="11267" max="11518" width="9.109375" style="15"/>
    <col min="11519" max="11519" width="8.33203125" style="15" customWidth="1"/>
    <col min="11520" max="11520" width="65.6640625" style="15" customWidth="1"/>
    <col min="11521" max="11521" width="15.88671875" style="15" customWidth="1"/>
    <col min="11522" max="11522" width="3.6640625" style="15" customWidth="1"/>
    <col min="11523" max="11774" width="9.109375" style="15"/>
    <col min="11775" max="11775" width="8.33203125" style="15" customWidth="1"/>
    <col min="11776" max="11776" width="65.6640625" style="15" customWidth="1"/>
    <col min="11777" max="11777" width="15.88671875" style="15" customWidth="1"/>
    <col min="11778" max="11778" width="3.6640625" style="15" customWidth="1"/>
    <col min="11779" max="12030" width="9.109375" style="15"/>
    <col min="12031" max="12031" width="8.33203125" style="15" customWidth="1"/>
    <col min="12032" max="12032" width="65.6640625" style="15" customWidth="1"/>
    <col min="12033" max="12033" width="15.88671875" style="15" customWidth="1"/>
    <col min="12034" max="12034" width="3.6640625" style="15" customWidth="1"/>
    <col min="12035" max="12286" width="9.109375" style="15"/>
    <col min="12287" max="12287" width="8.33203125" style="15" customWidth="1"/>
    <col min="12288" max="12288" width="65.6640625" style="15" customWidth="1"/>
    <col min="12289" max="12289" width="15.88671875" style="15" customWidth="1"/>
    <col min="12290" max="12290" width="3.6640625" style="15" customWidth="1"/>
    <col min="12291" max="12542" width="9.109375" style="15"/>
    <col min="12543" max="12543" width="8.33203125" style="15" customWidth="1"/>
    <col min="12544" max="12544" width="65.6640625" style="15" customWidth="1"/>
    <col min="12545" max="12545" width="15.88671875" style="15" customWidth="1"/>
    <col min="12546" max="12546" width="3.6640625" style="15" customWidth="1"/>
    <col min="12547" max="12798" width="9.109375" style="15"/>
    <col min="12799" max="12799" width="8.33203125" style="15" customWidth="1"/>
    <col min="12800" max="12800" width="65.6640625" style="15" customWidth="1"/>
    <col min="12801" max="12801" width="15.88671875" style="15" customWidth="1"/>
    <col min="12802" max="12802" width="3.6640625" style="15" customWidth="1"/>
    <col min="12803" max="13054" width="9.109375" style="15"/>
    <col min="13055" max="13055" width="8.33203125" style="15" customWidth="1"/>
    <col min="13056" max="13056" width="65.6640625" style="15" customWidth="1"/>
    <col min="13057" max="13057" width="15.88671875" style="15" customWidth="1"/>
    <col min="13058" max="13058" width="3.6640625" style="15" customWidth="1"/>
    <col min="13059" max="13310" width="9.109375" style="15"/>
    <col min="13311" max="13311" width="8.33203125" style="15" customWidth="1"/>
    <col min="13312" max="13312" width="65.6640625" style="15" customWidth="1"/>
    <col min="13313" max="13313" width="15.88671875" style="15" customWidth="1"/>
    <col min="13314" max="13314" width="3.6640625" style="15" customWidth="1"/>
    <col min="13315" max="13566" width="9.109375" style="15"/>
    <col min="13567" max="13567" width="8.33203125" style="15" customWidth="1"/>
    <col min="13568" max="13568" width="65.6640625" style="15" customWidth="1"/>
    <col min="13569" max="13569" width="15.88671875" style="15" customWidth="1"/>
    <col min="13570" max="13570" width="3.6640625" style="15" customWidth="1"/>
    <col min="13571" max="13822" width="9.109375" style="15"/>
    <col min="13823" max="13823" width="8.33203125" style="15" customWidth="1"/>
    <col min="13824" max="13824" width="65.6640625" style="15" customWidth="1"/>
    <col min="13825" max="13825" width="15.88671875" style="15" customWidth="1"/>
    <col min="13826" max="13826" width="3.6640625" style="15" customWidth="1"/>
    <col min="13827" max="14078" width="9.109375" style="15"/>
    <col min="14079" max="14079" width="8.33203125" style="15" customWidth="1"/>
    <col min="14080" max="14080" width="65.6640625" style="15" customWidth="1"/>
    <col min="14081" max="14081" width="15.88671875" style="15" customWidth="1"/>
    <col min="14082" max="14082" width="3.6640625" style="15" customWidth="1"/>
    <col min="14083" max="14334" width="9.109375" style="15"/>
    <col min="14335" max="14335" width="8.33203125" style="15" customWidth="1"/>
    <col min="14336" max="14336" width="65.6640625" style="15" customWidth="1"/>
    <col min="14337" max="14337" width="15.88671875" style="15" customWidth="1"/>
    <col min="14338" max="14338" width="3.6640625" style="15" customWidth="1"/>
    <col min="14339" max="14590" width="9.109375" style="15"/>
    <col min="14591" max="14591" width="8.33203125" style="15" customWidth="1"/>
    <col min="14592" max="14592" width="65.6640625" style="15" customWidth="1"/>
    <col min="14593" max="14593" width="15.88671875" style="15" customWidth="1"/>
    <col min="14594" max="14594" width="3.6640625" style="15" customWidth="1"/>
    <col min="14595" max="14846" width="9.109375" style="15"/>
    <col min="14847" max="14847" width="8.33203125" style="15" customWidth="1"/>
    <col min="14848" max="14848" width="65.6640625" style="15" customWidth="1"/>
    <col min="14849" max="14849" width="15.88671875" style="15" customWidth="1"/>
    <col min="14850" max="14850" width="3.6640625" style="15" customWidth="1"/>
    <col min="14851" max="15102" width="9.109375" style="15"/>
    <col min="15103" max="15103" width="8.33203125" style="15" customWidth="1"/>
    <col min="15104" max="15104" width="65.6640625" style="15" customWidth="1"/>
    <col min="15105" max="15105" width="15.88671875" style="15" customWidth="1"/>
    <col min="15106" max="15106" width="3.6640625" style="15" customWidth="1"/>
    <col min="15107" max="15358" width="9.109375" style="15"/>
    <col min="15359" max="15359" width="8.33203125" style="15" customWidth="1"/>
    <col min="15360" max="15360" width="65.6640625" style="15" customWidth="1"/>
    <col min="15361" max="15361" width="15.88671875" style="15" customWidth="1"/>
    <col min="15362" max="15362" width="3.6640625" style="15" customWidth="1"/>
    <col min="15363" max="15614" width="9.109375" style="15"/>
    <col min="15615" max="15615" width="8.33203125" style="15" customWidth="1"/>
    <col min="15616" max="15616" width="65.6640625" style="15" customWidth="1"/>
    <col min="15617" max="15617" width="15.88671875" style="15" customWidth="1"/>
    <col min="15618" max="15618" width="3.6640625" style="15" customWidth="1"/>
    <col min="15619" max="15870" width="9.109375" style="15"/>
    <col min="15871" max="15871" width="8.33203125" style="15" customWidth="1"/>
    <col min="15872" max="15872" width="65.6640625" style="15" customWidth="1"/>
    <col min="15873" max="15873" width="15.88671875" style="15" customWidth="1"/>
    <col min="15874" max="15874" width="3.6640625" style="15" customWidth="1"/>
    <col min="15875" max="16126" width="9.109375" style="15"/>
    <col min="16127" max="16127" width="8.33203125" style="15" customWidth="1"/>
    <col min="16128" max="16128" width="65.6640625" style="15" customWidth="1"/>
    <col min="16129" max="16129" width="15.88671875" style="15" customWidth="1"/>
    <col min="16130" max="16130" width="3.6640625" style="15" customWidth="1"/>
    <col min="16131" max="16384" width="9.109375" style="15"/>
  </cols>
  <sheetData>
    <row r="1" spans="1:4" s="8" customFormat="1" ht="15.6" x14ac:dyDescent="0.3">
      <c r="A1" s="7"/>
      <c r="B1" s="129" t="s">
        <v>209</v>
      </c>
      <c r="C1" s="129"/>
    </row>
    <row r="2" spans="1:4" s="8" customFormat="1" ht="15.6" x14ac:dyDescent="0.3">
      <c r="A2" s="7"/>
      <c r="B2" s="129" t="s">
        <v>489</v>
      </c>
      <c r="C2" s="129"/>
    </row>
    <row r="3" spans="1:4" s="8" customFormat="1" ht="15.6" x14ac:dyDescent="0.3">
      <c r="A3" s="7"/>
      <c r="B3" s="16" t="s">
        <v>584</v>
      </c>
      <c r="C3" s="16"/>
    </row>
    <row r="4" spans="1:4" s="8" customFormat="1" ht="15.6" x14ac:dyDescent="0.3">
      <c r="A4" s="7"/>
      <c r="B4" s="16" t="s">
        <v>561</v>
      </c>
      <c r="C4" s="16"/>
    </row>
    <row r="5" spans="1:4" s="8" customFormat="1" ht="15.6" x14ac:dyDescent="0.3">
      <c r="A5" s="7"/>
      <c r="B5" s="16" t="s">
        <v>560</v>
      </c>
      <c r="C5" s="17"/>
    </row>
    <row r="6" spans="1:4" ht="15.6" x14ac:dyDescent="0.3">
      <c r="A6" s="107"/>
      <c r="B6" s="17"/>
      <c r="C6" s="17"/>
      <c r="D6" s="2"/>
    </row>
    <row r="7" spans="1:4" ht="15.6" x14ac:dyDescent="0.3">
      <c r="A7" s="130" t="s">
        <v>529</v>
      </c>
      <c r="B7" s="130"/>
      <c r="C7" s="130"/>
    </row>
    <row r="8" spans="1:4" ht="15.6" x14ac:dyDescent="0.3">
      <c r="A8" s="130" t="s">
        <v>530</v>
      </c>
      <c r="B8" s="130"/>
      <c r="C8" s="130"/>
    </row>
    <row r="9" spans="1:4" ht="13.8" x14ac:dyDescent="0.25">
      <c r="A9" s="107"/>
    </row>
    <row r="10" spans="1:4" ht="13.8" x14ac:dyDescent="0.25">
      <c r="A10" s="107"/>
    </row>
    <row r="11" spans="1:4" ht="15" customHeight="1" x14ac:dyDescent="0.25">
      <c r="A11" s="143" t="s">
        <v>37</v>
      </c>
      <c r="B11" s="143" t="s">
        <v>531</v>
      </c>
      <c r="C11" s="143" t="s">
        <v>532</v>
      </c>
    </row>
    <row r="12" spans="1:4" ht="18.75" customHeight="1" x14ac:dyDescent="0.25">
      <c r="A12" s="144"/>
      <c r="B12" s="144"/>
      <c r="C12" s="144"/>
    </row>
    <row r="13" spans="1:4" ht="15.6" x14ac:dyDescent="0.25">
      <c r="A13" s="108" t="s">
        <v>50</v>
      </c>
      <c r="B13" s="109" t="s">
        <v>533</v>
      </c>
      <c r="C13" s="110">
        <v>243700</v>
      </c>
    </row>
    <row r="14" spans="1:4" ht="15.6" x14ac:dyDescent="0.25">
      <c r="A14" s="108" t="s">
        <v>49</v>
      </c>
      <c r="B14" s="109" t="s">
        <v>534</v>
      </c>
      <c r="C14" s="110">
        <v>259000</v>
      </c>
    </row>
    <row r="15" spans="1:4" ht="15.6" x14ac:dyDescent="0.25">
      <c r="A15" s="108" t="s">
        <v>51</v>
      </c>
      <c r="B15" s="109" t="s">
        <v>535</v>
      </c>
      <c r="C15" s="111">
        <f>38900-600</f>
        <v>38300</v>
      </c>
    </row>
    <row r="16" spans="1:4" ht="15.6" x14ac:dyDescent="0.25">
      <c r="A16" s="108" t="s">
        <v>52</v>
      </c>
      <c r="B16" s="109" t="s">
        <v>536</v>
      </c>
      <c r="C16" s="111">
        <v>824200</v>
      </c>
    </row>
    <row r="17" spans="1:3" ht="15.6" x14ac:dyDescent="0.25">
      <c r="A17" s="108" t="s">
        <v>53</v>
      </c>
      <c r="B17" s="112" t="s">
        <v>537</v>
      </c>
      <c r="C17" s="111">
        <v>4100</v>
      </c>
    </row>
    <row r="18" spans="1:3" ht="15.6" x14ac:dyDescent="0.25">
      <c r="A18" s="108" t="s">
        <v>54</v>
      </c>
      <c r="B18" s="109" t="s">
        <v>538</v>
      </c>
      <c r="C18" s="111">
        <v>25200</v>
      </c>
    </row>
    <row r="19" spans="1:3" ht="31.2" x14ac:dyDescent="0.25">
      <c r="A19" s="108" t="s">
        <v>55</v>
      </c>
      <c r="B19" s="109" t="s">
        <v>539</v>
      </c>
      <c r="C19" s="110">
        <v>600</v>
      </c>
    </row>
    <row r="20" spans="1:3" ht="31.2" x14ac:dyDescent="0.25">
      <c r="A20" s="108" t="s">
        <v>56</v>
      </c>
      <c r="B20" s="109" t="s">
        <v>540</v>
      </c>
      <c r="C20" s="110">
        <v>500</v>
      </c>
    </row>
    <row r="21" spans="1:3" ht="31.2" x14ac:dyDescent="0.25">
      <c r="A21" s="108" t="s">
        <v>57</v>
      </c>
      <c r="B21" s="109" t="s">
        <v>541</v>
      </c>
      <c r="C21" s="111">
        <v>2700</v>
      </c>
    </row>
    <row r="22" spans="1:3" ht="15.6" x14ac:dyDescent="0.25">
      <c r="A22" s="108" t="s">
        <v>58</v>
      </c>
      <c r="B22" s="109" t="s">
        <v>542</v>
      </c>
      <c r="C22" s="111">
        <v>9000</v>
      </c>
    </row>
    <row r="23" spans="1:3" ht="15.6" x14ac:dyDescent="0.25">
      <c r="A23" s="108" t="s">
        <v>59</v>
      </c>
      <c r="B23" s="109" t="s">
        <v>543</v>
      </c>
      <c r="C23" s="110">
        <v>25700</v>
      </c>
    </row>
    <row r="24" spans="1:3" ht="31.2" x14ac:dyDescent="0.25">
      <c r="A24" s="108" t="s">
        <v>60</v>
      </c>
      <c r="B24" s="109" t="s">
        <v>544</v>
      </c>
      <c r="C24" s="111">
        <f>16500-4600</f>
        <v>11900</v>
      </c>
    </row>
    <row r="25" spans="1:3" ht="15.6" x14ac:dyDescent="0.25">
      <c r="A25" s="108" t="s">
        <v>545</v>
      </c>
      <c r="B25" s="109" t="s">
        <v>546</v>
      </c>
      <c r="C25" s="120">
        <f>219700-4400-19200</f>
        <v>196100</v>
      </c>
    </row>
    <row r="26" spans="1:3" ht="15.6" x14ac:dyDescent="0.25">
      <c r="A26" s="108" t="s">
        <v>61</v>
      </c>
      <c r="B26" s="109" t="s">
        <v>547</v>
      </c>
      <c r="C26" s="110">
        <v>499300</v>
      </c>
    </row>
    <row r="27" spans="1:3" ht="15.6" x14ac:dyDescent="0.25">
      <c r="A27" s="108" t="s">
        <v>91</v>
      </c>
      <c r="B27" s="109" t="s">
        <v>548</v>
      </c>
      <c r="C27" s="120">
        <f>1389800+103500+143000-39000</f>
        <v>1597300</v>
      </c>
    </row>
    <row r="28" spans="1:3" ht="15.6" x14ac:dyDescent="0.25">
      <c r="A28" s="108" t="s">
        <v>92</v>
      </c>
      <c r="B28" s="109" t="s">
        <v>549</v>
      </c>
      <c r="C28" s="110">
        <v>19300</v>
      </c>
    </row>
    <row r="29" spans="1:3" ht="15.6" x14ac:dyDescent="0.25">
      <c r="A29" s="108" t="s">
        <v>93</v>
      </c>
      <c r="B29" s="113" t="s">
        <v>550</v>
      </c>
      <c r="C29" s="114">
        <v>157500</v>
      </c>
    </row>
    <row r="30" spans="1:3" ht="15.6" x14ac:dyDescent="0.25">
      <c r="A30" s="108" t="s">
        <v>94</v>
      </c>
      <c r="B30" s="109" t="s">
        <v>551</v>
      </c>
      <c r="C30" s="120">
        <f>0+1700</f>
        <v>1700</v>
      </c>
    </row>
    <row r="31" spans="1:3" ht="15.6" x14ac:dyDescent="0.25">
      <c r="A31" s="108" t="s">
        <v>95</v>
      </c>
      <c r="B31" s="109" t="s">
        <v>552</v>
      </c>
      <c r="C31" s="110">
        <v>2000</v>
      </c>
    </row>
    <row r="32" spans="1:3" ht="15.6" x14ac:dyDescent="0.25">
      <c r="A32" s="108" t="s">
        <v>125</v>
      </c>
      <c r="B32" s="109" t="s">
        <v>553</v>
      </c>
      <c r="C32" s="110">
        <v>8176</v>
      </c>
    </row>
    <row r="33" spans="1:3" ht="31.2" x14ac:dyDescent="0.25">
      <c r="A33" s="108" t="s">
        <v>126</v>
      </c>
      <c r="B33" s="109" t="s">
        <v>554</v>
      </c>
      <c r="C33" s="110">
        <v>43896</v>
      </c>
    </row>
    <row r="34" spans="1:3" ht="46.8" x14ac:dyDescent="0.25">
      <c r="A34" s="108" t="s">
        <v>127</v>
      </c>
      <c r="B34" s="115" t="s">
        <v>555</v>
      </c>
      <c r="C34" s="110">
        <f>72160+146960</f>
        <v>219120</v>
      </c>
    </row>
    <row r="35" spans="1:3" ht="31.2" x14ac:dyDescent="0.25">
      <c r="A35" s="108" t="s">
        <v>128</v>
      </c>
      <c r="B35" s="109" t="s">
        <v>556</v>
      </c>
      <c r="C35" s="110">
        <v>70130</v>
      </c>
    </row>
    <row r="36" spans="1:3" ht="31.2" x14ac:dyDescent="0.25">
      <c r="A36" s="108" t="s">
        <v>129</v>
      </c>
      <c r="B36" s="109" t="s">
        <v>557</v>
      </c>
      <c r="C36" s="110">
        <v>31082</v>
      </c>
    </row>
    <row r="37" spans="1:3" s="7" customFormat="1" ht="15.6" x14ac:dyDescent="0.25">
      <c r="A37" s="116"/>
      <c r="B37" s="117" t="s">
        <v>558</v>
      </c>
      <c r="C37" s="118">
        <f>SUM(C13:C36)</f>
        <v>4290504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559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25" customFormat="1" ht="15.6" x14ac:dyDescent="0.3">
      <c r="A43" s="124"/>
      <c r="B43" s="2"/>
    </row>
    <row r="44" spans="1:3" s="125" customFormat="1" ht="15" x14ac:dyDescent="0.25">
      <c r="A44" s="124"/>
    </row>
    <row r="45" spans="1:3" s="125" customFormat="1" ht="15" x14ac:dyDescent="0.25">
      <c r="A45" s="124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2024-11-03T09:31:29Z</cp:lastPrinted>
  <dcterms:created xsi:type="dcterms:W3CDTF">2001-01-28T19:21:19Z</dcterms:created>
  <dcterms:modified xsi:type="dcterms:W3CDTF">2024-11-03T09:32:08Z</dcterms:modified>
</cp:coreProperties>
</file>