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/"/>
    </mc:Choice>
  </mc:AlternateContent>
  <xr:revisionPtr revIDLastSave="0" documentId="8_{D7634E51-ED8E-427A-959A-F3BA639A444F}" xr6:coauthVersionLast="47" xr6:coauthVersionMax="47" xr10:uidLastSave="{00000000-0000-0000-0000-000000000000}"/>
  <bookViews>
    <workbookView xWindow="-108" yWindow="-108" windowWidth="23256" windowHeight="12576" tabRatio="758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L246" i="19" l="1"/>
  <c r="C246" i="19"/>
  <c r="C224" i="19"/>
  <c r="C27" i="18"/>
  <c r="C19" i="18"/>
  <c r="C29" i="15"/>
  <c r="C28" i="15"/>
  <c r="C25" i="18" l="1"/>
  <c r="C18" i="18"/>
  <c r="C37" i="15"/>
  <c r="F192" i="19"/>
  <c r="C12" i="18"/>
  <c r="L166" i="19" l="1"/>
  <c r="L160" i="19"/>
  <c r="L153" i="19"/>
  <c r="L152" i="19"/>
  <c r="L146" i="19"/>
  <c r="L145" i="19"/>
  <c r="F221" i="19"/>
  <c r="F215" i="19"/>
  <c r="F19" i="19"/>
  <c r="C26" i="18"/>
  <c r="C36" i="15"/>
  <c r="C43" i="15"/>
  <c r="C22" i="18" l="1"/>
  <c r="C17" i="18"/>
  <c r="C31" i="15"/>
  <c r="C27" i="15"/>
  <c r="C27" i="20"/>
  <c r="F18" i="19"/>
  <c r="F212" i="19"/>
  <c r="L114" i="19"/>
  <c r="C78" i="19"/>
  <c r="C84" i="19"/>
  <c r="L150" i="19"/>
  <c r="L149" i="19" s="1"/>
  <c r="C151" i="19"/>
  <c r="C150" i="19"/>
  <c r="I151" i="19"/>
  <c r="I150" i="19"/>
  <c r="L158" i="19"/>
  <c r="C159" i="19"/>
  <c r="C158" i="19"/>
  <c r="I159" i="19"/>
  <c r="I158" i="19"/>
  <c r="L155" i="19"/>
  <c r="L156" i="19"/>
  <c r="C156" i="19"/>
  <c r="C155" i="19"/>
  <c r="I156" i="19"/>
  <c r="I155" i="19"/>
  <c r="C153" i="19"/>
  <c r="I153" i="19"/>
  <c r="L164" i="19"/>
  <c r="C165" i="19"/>
  <c r="C164" i="19"/>
  <c r="I165" i="19"/>
  <c r="I164" i="19"/>
  <c r="L170" i="19"/>
  <c r="C171" i="19"/>
  <c r="C170" i="19"/>
  <c r="I171" i="19"/>
  <c r="I170" i="19"/>
  <c r="G203" i="19" l="1"/>
  <c r="G202" i="19" s="1"/>
  <c r="H203" i="19"/>
  <c r="I203" i="19"/>
  <c r="J203" i="19"/>
  <c r="J202" i="19" s="1"/>
  <c r="K203" i="19"/>
  <c r="L203" i="19"/>
  <c r="D203" i="19"/>
  <c r="E203" i="19"/>
  <c r="C245" i="19"/>
  <c r="C116" i="19"/>
  <c r="C110" i="19"/>
  <c r="F174" i="19"/>
  <c r="C174" i="19"/>
  <c r="F176" i="19"/>
  <c r="F175" i="19" s="1"/>
  <c r="C176" i="19"/>
  <c r="F153" i="19"/>
  <c r="F152" i="19"/>
  <c r="C152" i="19"/>
  <c r="L91" i="19"/>
  <c r="L94" i="19"/>
  <c r="C211" i="19"/>
  <c r="C238" i="19"/>
  <c r="O238" i="19" s="1"/>
  <c r="C239" i="19"/>
  <c r="O239" i="19" s="1"/>
  <c r="C233" i="19"/>
  <c r="C221" i="19"/>
  <c r="O221" i="19" s="1"/>
  <c r="C230" i="19"/>
  <c r="O230" i="19" s="1"/>
  <c r="C223" i="19"/>
  <c r="C232" i="19"/>
  <c r="C182" i="19"/>
  <c r="C181" i="19" s="1"/>
  <c r="C128" i="19"/>
  <c r="C97" i="19"/>
  <c r="C96" i="19" s="1"/>
  <c r="C101" i="19"/>
  <c r="C69" i="19"/>
  <c r="O69" i="19" s="1"/>
  <c r="C66" i="19"/>
  <c r="C62" i="19"/>
  <c r="C67" i="19"/>
  <c r="O67" i="19" s="1"/>
  <c r="C17" i="19"/>
  <c r="F193" i="19"/>
  <c r="O244" i="19"/>
  <c r="F206" i="19"/>
  <c r="F205" i="19"/>
  <c r="F204" i="19"/>
  <c r="O204" i="19" s="1"/>
  <c r="F210" i="19"/>
  <c r="O210" i="19" s="1"/>
  <c r="F224" i="19"/>
  <c r="C219" i="19"/>
  <c r="F219" i="19"/>
  <c r="F218" i="19"/>
  <c r="O218" i="19" s="1"/>
  <c r="F217" i="19"/>
  <c r="O217" i="19" s="1"/>
  <c r="F207" i="19"/>
  <c r="L202" i="19"/>
  <c r="O243" i="19"/>
  <c r="O192" i="19"/>
  <c r="F191" i="19"/>
  <c r="C25" i="20"/>
  <c r="C24" i="20"/>
  <c r="C15" i="20"/>
  <c r="C16" i="18"/>
  <c r="C15" i="18"/>
  <c r="C21" i="18"/>
  <c r="C41" i="15"/>
  <c r="C39" i="15"/>
  <c r="C11" i="15"/>
  <c r="C34" i="20"/>
  <c r="C161" i="19"/>
  <c r="C162" i="19"/>
  <c r="O162" i="19" s="1"/>
  <c r="O171" i="19"/>
  <c r="C168" i="19"/>
  <c r="O158" i="19"/>
  <c r="O165" i="19"/>
  <c r="O156" i="19"/>
  <c r="C148" i="19"/>
  <c r="C145" i="19"/>
  <c r="C173" i="19"/>
  <c r="C172" i="19" s="1"/>
  <c r="O151" i="19"/>
  <c r="C200" i="19"/>
  <c r="O200" i="19" s="1"/>
  <c r="I181" i="19"/>
  <c r="G181" i="19"/>
  <c r="H181" i="19"/>
  <c r="O105" i="19"/>
  <c r="I96" i="19"/>
  <c r="F96" i="19"/>
  <c r="O19" i="19"/>
  <c r="O193" i="19"/>
  <c r="C52" i="15"/>
  <c r="C50" i="15"/>
  <c r="C49" i="15"/>
  <c r="C45" i="15"/>
  <c r="C30" i="15" s="1"/>
  <c r="C44" i="15"/>
  <c r="C20" i="15"/>
  <c r="C10" i="15"/>
  <c r="C29" i="18"/>
  <c r="C30" i="18" s="1"/>
  <c r="C28" i="18"/>
  <c r="C20" i="18"/>
  <c r="C13" i="18"/>
  <c r="C250" i="19"/>
  <c r="C249" i="19"/>
  <c r="O249" i="19" s="1"/>
  <c r="F248" i="19"/>
  <c r="G246" i="19"/>
  <c r="F246" i="19"/>
  <c r="D246" i="19"/>
  <c r="G245" i="19"/>
  <c r="F245" i="19"/>
  <c r="D245" i="19"/>
  <c r="O242" i="19"/>
  <c r="O241" i="19"/>
  <c r="O240" i="19"/>
  <c r="O237" i="19"/>
  <c r="O236" i="19"/>
  <c r="O235" i="19"/>
  <c r="O234" i="19"/>
  <c r="O233" i="19"/>
  <c r="O232" i="19"/>
  <c r="O231" i="19"/>
  <c r="O229" i="19"/>
  <c r="C228" i="19"/>
  <c r="O227" i="19"/>
  <c r="O226" i="19"/>
  <c r="O225" i="19"/>
  <c r="O223" i="19"/>
  <c r="O222" i="19"/>
  <c r="F220" i="19"/>
  <c r="O220" i="19" s="1"/>
  <c r="O219" i="19"/>
  <c r="O216" i="19"/>
  <c r="O215" i="19"/>
  <c r="O214" i="19"/>
  <c r="O213" i="19"/>
  <c r="O212" i="19"/>
  <c r="O211" i="19"/>
  <c r="O209" i="19"/>
  <c r="O208" i="19"/>
  <c r="O207" i="19"/>
  <c r="O206" i="19"/>
  <c r="O205" i="19"/>
  <c r="N203" i="19"/>
  <c r="N202" i="19" s="1"/>
  <c r="M203" i="19"/>
  <c r="M202" i="19" s="1"/>
  <c r="K202" i="19"/>
  <c r="I202" i="19"/>
  <c r="H202" i="19"/>
  <c r="E202" i="19"/>
  <c r="O199" i="19"/>
  <c r="O198" i="19"/>
  <c r="O197" i="19"/>
  <c r="O196" i="19"/>
  <c r="O195" i="19"/>
  <c r="N194" i="19"/>
  <c r="M194" i="19"/>
  <c r="L194" i="19"/>
  <c r="K194" i="19"/>
  <c r="J194" i="19"/>
  <c r="I194" i="19"/>
  <c r="H194" i="19"/>
  <c r="G194" i="19"/>
  <c r="F194" i="19"/>
  <c r="E194" i="19"/>
  <c r="D194" i="19"/>
  <c r="O191" i="19"/>
  <c r="O190" i="19"/>
  <c r="O189" i="19"/>
  <c r="O188" i="19"/>
  <c r="O187" i="19"/>
  <c r="O186" i="19"/>
  <c r="F185" i="19"/>
  <c r="O185" i="19" s="1"/>
  <c r="O184" i="19"/>
  <c r="O183" i="19"/>
  <c r="O182" i="19"/>
  <c r="N181" i="19"/>
  <c r="M181" i="19"/>
  <c r="L181" i="19"/>
  <c r="K181" i="19"/>
  <c r="J181" i="19"/>
  <c r="E181" i="19"/>
  <c r="D181" i="19"/>
  <c r="L180" i="19"/>
  <c r="O180" i="19" s="1"/>
  <c r="O179" i="19"/>
  <c r="L178" i="19"/>
  <c r="G178" i="19"/>
  <c r="F178" i="19"/>
  <c r="C178" i="19"/>
  <c r="O177" i="19"/>
  <c r="L176" i="19"/>
  <c r="L175" i="19" s="1"/>
  <c r="G176" i="19"/>
  <c r="G175" i="19" s="1"/>
  <c r="D176" i="19"/>
  <c r="D175" i="19" s="1"/>
  <c r="N175" i="19"/>
  <c r="M175" i="19"/>
  <c r="K175" i="19"/>
  <c r="J175" i="19"/>
  <c r="I175" i="19"/>
  <c r="H175" i="19"/>
  <c r="E175" i="19"/>
  <c r="O174" i="19"/>
  <c r="G173" i="19"/>
  <c r="G172" i="19" s="1"/>
  <c r="F173" i="19"/>
  <c r="D173" i="19"/>
  <c r="D172" i="19" s="1"/>
  <c r="N172" i="19"/>
  <c r="M172" i="19"/>
  <c r="L172" i="19"/>
  <c r="K172" i="19"/>
  <c r="J172" i="19"/>
  <c r="I172" i="19"/>
  <c r="H172" i="19"/>
  <c r="E172" i="19"/>
  <c r="D171" i="19"/>
  <c r="D169" i="19" s="1"/>
  <c r="C169" i="19"/>
  <c r="N169" i="19"/>
  <c r="M169" i="19"/>
  <c r="L169" i="19"/>
  <c r="K169" i="19"/>
  <c r="J169" i="19"/>
  <c r="I169" i="19"/>
  <c r="H169" i="19"/>
  <c r="G169" i="19"/>
  <c r="F169" i="19"/>
  <c r="E169" i="19"/>
  <c r="D168" i="19"/>
  <c r="O168" i="19"/>
  <c r="G167" i="19"/>
  <c r="G166" i="19" s="1"/>
  <c r="F167" i="19"/>
  <c r="F166" i="19"/>
  <c r="D167" i="19"/>
  <c r="C167" i="19"/>
  <c r="O167" i="19" s="1"/>
  <c r="N166" i="19"/>
  <c r="M166" i="19"/>
  <c r="K166" i="19"/>
  <c r="J166" i="19"/>
  <c r="I166" i="19"/>
  <c r="H166" i="19"/>
  <c r="E166" i="19"/>
  <c r="D165" i="19"/>
  <c r="D164" i="19"/>
  <c r="N163" i="19"/>
  <c r="M163" i="19"/>
  <c r="L163" i="19"/>
  <c r="K163" i="19"/>
  <c r="J163" i="19"/>
  <c r="I163" i="19"/>
  <c r="H163" i="19"/>
  <c r="G163" i="19"/>
  <c r="F163" i="19"/>
  <c r="E163" i="19"/>
  <c r="D162" i="19"/>
  <c r="G161" i="19"/>
  <c r="F161" i="19"/>
  <c r="F160" i="19" s="1"/>
  <c r="D161" i="19"/>
  <c r="N160" i="19"/>
  <c r="M160" i="19"/>
  <c r="K160" i="19"/>
  <c r="J160" i="19"/>
  <c r="I160" i="19"/>
  <c r="H160" i="19"/>
  <c r="G160" i="19"/>
  <c r="E160" i="19"/>
  <c r="D159" i="19"/>
  <c r="D157" i="19" s="1"/>
  <c r="O159" i="19"/>
  <c r="N157" i="19"/>
  <c r="M157" i="19"/>
  <c r="L157" i="19"/>
  <c r="K157" i="19"/>
  <c r="J157" i="19"/>
  <c r="I157" i="19"/>
  <c r="H157" i="19"/>
  <c r="G157" i="19"/>
  <c r="F157" i="19"/>
  <c r="E157" i="19"/>
  <c r="D156" i="19"/>
  <c r="D154" i="19" s="1"/>
  <c r="O155" i="19"/>
  <c r="N154" i="19"/>
  <c r="M154" i="19"/>
  <c r="L154" i="19"/>
  <c r="K154" i="19"/>
  <c r="J154" i="19"/>
  <c r="I154" i="19"/>
  <c r="H154" i="19"/>
  <c r="G154" i="19"/>
  <c r="F154" i="19"/>
  <c r="E154" i="19"/>
  <c r="O153" i="19"/>
  <c r="D151" i="19"/>
  <c r="D149" i="19" s="1"/>
  <c r="G150" i="19"/>
  <c r="G149" i="19" s="1"/>
  <c r="F150" i="19"/>
  <c r="F149" i="19" s="1"/>
  <c r="N149" i="19"/>
  <c r="M149" i="19"/>
  <c r="K149" i="19"/>
  <c r="J149" i="19"/>
  <c r="I149" i="19"/>
  <c r="H149" i="19"/>
  <c r="E149" i="19"/>
  <c r="D148" i="19"/>
  <c r="D146" i="19" s="1"/>
  <c r="O148" i="19"/>
  <c r="G147" i="19"/>
  <c r="G146" i="19" s="1"/>
  <c r="C147" i="19"/>
  <c r="O147" i="19" s="1"/>
  <c r="N146" i="19"/>
  <c r="M146" i="19"/>
  <c r="M144" i="19" s="1"/>
  <c r="K146" i="19"/>
  <c r="J146" i="19"/>
  <c r="I146" i="19"/>
  <c r="H146" i="19"/>
  <c r="F146" i="19"/>
  <c r="E146" i="19"/>
  <c r="C142" i="19"/>
  <c r="O141" i="19"/>
  <c r="O140" i="19"/>
  <c r="O139" i="19"/>
  <c r="N138" i="19"/>
  <c r="M138" i="19"/>
  <c r="L138" i="19"/>
  <c r="K138" i="19"/>
  <c r="J138" i="19"/>
  <c r="I138" i="19"/>
  <c r="H138" i="19"/>
  <c r="G138" i="19"/>
  <c r="F138" i="19"/>
  <c r="E138" i="19"/>
  <c r="D138" i="19"/>
  <c r="O137" i="19"/>
  <c r="O136" i="19"/>
  <c r="O135" i="19"/>
  <c r="O134" i="19"/>
  <c r="O133" i="19"/>
  <c r="O132" i="19"/>
  <c r="O131" i="19"/>
  <c r="O130" i="19"/>
  <c r="O129" i="19"/>
  <c r="O128" i="19"/>
  <c r="O127" i="19"/>
  <c r="O126" i="19"/>
  <c r="N125" i="19"/>
  <c r="M125" i="19"/>
  <c r="L125" i="19"/>
  <c r="K125" i="19"/>
  <c r="J125" i="19"/>
  <c r="J113" i="19" s="1"/>
  <c r="I125" i="19"/>
  <c r="H125" i="19"/>
  <c r="H113" i="19" s="1"/>
  <c r="G125" i="19"/>
  <c r="F125" i="19"/>
  <c r="F113" i="19" s="1"/>
  <c r="E125" i="19"/>
  <c r="D125" i="19"/>
  <c r="C125" i="19"/>
  <c r="O124" i="19"/>
  <c r="O123" i="19"/>
  <c r="L122" i="19"/>
  <c r="N121" i="19"/>
  <c r="M121" i="19"/>
  <c r="M113" i="19" s="1"/>
  <c r="K121" i="19"/>
  <c r="I121" i="19"/>
  <c r="H121" i="19"/>
  <c r="E121" i="19"/>
  <c r="D121" i="19"/>
  <c r="C121" i="19"/>
  <c r="D120" i="19"/>
  <c r="C120" i="19"/>
  <c r="O120" i="19" s="1"/>
  <c r="D119" i="19"/>
  <c r="C119" i="19"/>
  <c r="O119" i="19" s="1"/>
  <c r="L118" i="19"/>
  <c r="D118" i="19"/>
  <c r="C118" i="19"/>
  <c r="L117" i="19"/>
  <c r="D117" i="19"/>
  <c r="C117" i="19"/>
  <c r="L116" i="19"/>
  <c r="D116" i="19"/>
  <c r="L115" i="19"/>
  <c r="D115" i="19"/>
  <c r="C115" i="19"/>
  <c r="D114" i="19"/>
  <c r="C114" i="19"/>
  <c r="O111" i="19"/>
  <c r="G111" i="19"/>
  <c r="O110" i="19"/>
  <c r="N109" i="19"/>
  <c r="M109" i="19"/>
  <c r="L109" i="19"/>
  <c r="K109" i="19"/>
  <c r="J109" i="19"/>
  <c r="I109" i="19"/>
  <c r="H109" i="19"/>
  <c r="G109" i="19"/>
  <c r="F109" i="19"/>
  <c r="E109" i="19"/>
  <c r="E88" i="19" s="1"/>
  <c r="D109" i="19"/>
  <c r="C109" i="19"/>
  <c r="O108" i="19"/>
  <c r="O107" i="19"/>
  <c r="N106" i="19"/>
  <c r="M106" i="19"/>
  <c r="L106" i="19"/>
  <c r="K106" i="19"/>
  <c r="J106" i="19"/>
  <c r="I106" i="19"/>
  <c r="H106" i="19"/>
  <c r="G106" i="19"/>
  <c r="F106" i="19"/>
  <c r="E106" i="19"/>
  <c r="D106" i="19"/>
  <c r="C106" i="19"/>
  <c r="L104" i="19"/>
  <c r="L96" i="19" s="1"/>
  <c r="O103" i="19"/>
  <c r="O102" i="19"/>
  <c r="O101" i="19"/>
  <c r="O100" i="19"/>
  <c r="O99" i="19"/>
  <c r="O98" i="19"/>
  <c r="O97" i="19"/>
  <c r="N96" i="19"/>
  <c r="M96" i="19"/>
  <c r="K96" i="19"/>
  <c r="J96" i="19"/>
  <c r="H96" i="19"/>
  <c r="G96" i="19"/>
  <c r="E96" i="19"/>
  <c r="D96" i="19"/>
  <c r="L95" i="19"/>
  <c r="O95" i="19"/>
  <c r="O94" i="19"/>
  <c r="L93" i="19"/>
  <c r="O93" i="19" s="1"/>
  <c r="L92" i="19"/>
  <c r="O92" i="19" s="1"/>
  <c r="F91" i="19"/>
  <c r="O90" i="19"/>
  <c r="N89" i="19"/>
  <c r="M89" i="19"/>
  <c r="K89" i="19"/>
  <c r="K88" i="19" s="1"/>
  <c r="I89" i="19"/>
  <c r="H89" i="19"/>
  <c r="G89" i="19"/>
  <c r="F89" i="19"/>
  <c r="E89" i="19"/>
  <c r="D89" i="19"/>
  <c r="C89" i="19"/>
  <c r="O86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L57" i="19" s="1"/>
  <c r="L56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F57" i="19" s="1"/>
  <c r="F56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6" i="19"/>
  <c r="O65" i="19"/>
  <c r="O64" i="19"/>
  <c r="O63" i="19"/>
  <c r="O62" i="19"/>
  <c r="O61" i="19"/>
  <c r="C60" i="19"/>
  <c r="O60" i="19"/>
  <c r="C59" i="19"/>
  <c r="O59" i="19" s="1"/>
  <c r="O58" i="19"/>
  <c r="Q56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N48" i="19" s="1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C34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L29" i="19"/>
  <c r="O29" i="19" s="1"/>
  <c r="O28" i="19"/>
  <c r="O27" i="19"/>
  <c r="O26" i="19"/>
  <c r="L25" i="19"/>
  <c r="O25" i="19" s="1"/>
  <c r="L24" i="19"/>
  <c r="C24" i="19"/>
  <c r="O23" i="19"/>
  <c r="L22" i="19"/>
  <c r="O22" i="19" s="1"/>
  <c r="O21" i="19"/>
  <c r="L20" i="19"/>
  <c r="O20" i="19" s="1"/>
  <c r="G19" i="19"/>
  <c r="G18" i="19"/>
  <c r="O18" i="19"/>
  <c r="L17" i="19"/>
  <c r="D17" i="19"/>
  <c r="D14" i="19" s="1"/>
  <c r="O17" i="19"/>
  <c r="O16" i="19"/>
  <c r="O15" i="19"/>
  <c r="N14" i="19"/>
  <c r="M14" i="19"/>
  <c r="K14" i="19"/>
  <c r="K12" i="19" s="1"/>
  <c r="J14" i="19"/>
  <c r="I14" i="19"/>
  <c r="H14" i="19"/>
  <c r="E14" i="19"/>
  <c r="O13" i="19"/>
  <c r="Q12" i="19"/>
  <c r="O114" i="19"/>
  <c r="O125" i="19"/>
  <c r="J48" i="19"/>
  <c r="D160" i="19"/>
  <c r="C154" i="19"/>
  <c r="O170" i="19"/>
  <c r="O224" i="19"/>
  <c r="O228" i="19"/>
  <c r="O142" i="19"/>
  <c r="C138" i="19"/>
  <c r="C194" i="19"/>
  <c r="C166" i="19" l="1"/>
  <c r="D166" i="19"/>
  <c r="O245" i="19"/>
  <c r="G14" i="19"/>
  <c r="G12" i="19" s="1"/>
  <c r="O109" i="19"/>
  <c r="I113" i="19"/>
  <c r="C203" i="19"/>
  <c r="M12" i="19"/>
  <c r="C48" i="19"/>
  <c r="O152" i="19"/>
  <c r="O169" i="19"/>
  <c r="O42" i="19"/>
  <c r="D48" i="19"/>
  <c r="H48" i="19"/>
  <c r="L48" i="19"/>
  <c r="O48" i="19" s="1"/>
  <c r="R48" i="19" s="1"/>
  <c r="C88" i="19"/>
  <c r="G88" i="19"/>
  <c r="O166" i="19"/>
  <c r="F203" i="19"/>
  <c r="F202" i="19" s="1"/>
  <c r="D12" i="19"/>
  <c r="O30" i="19"/>
  <c r="F48" i="19"/>
  <c r="G48" i="19"/>
  <c r="H88" i="19"/>
  <c r="J88" i="19"/>
  <c r="O173" i="19"/>
  <c r="I144" i="19"/>
  <c r="E48" i="19"/>
  <c r="I48" i="19"/>
  <c r="M48" i="19"/>
  <c r="O106" i="19"/>
  <c r="M88" i="19"/>
  <c r="F181" i="19"/>
  <c r="O181" i="19" s="1"/>
  <c r="N88" i="19"/>
  <c r="O116" i="19"/>
  <c r="E113" i="19"/>
  <c r="C160" i="19"/>
  <c r="O138" i="19"/>
  <c r="O49" i="19"/>
  <c r="H144" i="19"/>
  <c r="N144" i="19"/>
  <c r="F172" i="19"/>
  <c r="O172" i="19" s="1"/>
  <c r="C202" i="19"/>
  <c r="O203" i="19"/>
  <c r="N12" i="19"/>
  <c r="K113" i="19"/>
  <c r="O246" i="19"/>
  <c r="O154" i="19"/>
  <c r="G144" i="19"/>
  <c r="J144" i="19"/>
  <c r="O161" i="19"/>
  <c r="O194" i="19"/>
  <c r="D113" i="19"/>
  <c r="O150" i="19"/>
  <c r="C41" i="19"/>
  <c r="O41" i="19" s="1"/>
  <c r="R41" i="19" s="1"/>
  <c r="I88" i="19"/>
  <c r="O115" i="19"/>
  <c r="D202" i="19"/>
  <c r="K48" i="19"/>
  <c r="E12" i="19"/>
  <c r="F14" i="19"/>
  <c r="F12" i="19" s="1"/>
  <c r="O104" i="19"/>
  <c r="H12" i="19"/>
  <c r="O118" i="19"/>
  <c r="N113" i="19"/>
  <c r="G113" i="19"/>
  <c r="K144" i="19"/>
  <c r="C149" i="19"/>
  <c r="O149" i="19" s="1"/>
  <c r="E144" i="19"/>
  <c r="C37" i="20"/>
  <c r="O117" i="19"/>
  <c r="C113" i="19"/>
  <c r="O122" i="19"/>
  <c r="L121" i="19"/>
  <c r="C248" i="19"/>
  <c r="O248" i="19" s="1"/>
  <c r="O250" i="19"/>
  <c r="C14" i="19"/>
  <c r="O24" i="19"/>
  <c r="O34" i="19"/>
  <c r="C33" i="19"/>
  <c r="O33" i="19" s="1"/>
  <c r="O37" i="19"/>
  <c r="C36" i="19"/>
  <c r="O36" i="19" s="1"/>
  <c r="O91" i="19"/>
  <c r="F88" i="19"/>
  <c r="C11" i="18"/>
  <c r="I12" i="19"/>
  <c r="L14" i="19"/>
  <c r="L12" i="19" s="1"/>
  <c r="O164" i="19"/>
  <c r="C163" i="19"/>
  <c r="O163" i="19" s="1"/>
  <c r="O176" i="19"/>
  <c r="C175" i="19"/>
  <c r="O175" i="19" s="1"/>
  <c r="C55" i="15"/>
  <c r="J12" i="19"/>
  <c r="C57" i="19"/>
  <c r="I72" i="19"/>
  <c r="I57" i="19" s="1"/>
  <c r="I56" i="19" s="1"/>
  <c r="O75" i="19"/>
  <c r="O72" i="19" s="1"/>
  <c r="D88" i="19"/>
  <c r="L144" i="19"/>
  <c r="D163" i="19"/>
  <c r="D144" i="19" s="1"/>
  <c r="O178" i="19"/>
  <c r="O96" i="19"/>
  <c r="O145" i="19"/>
  <c r="O160" i="19"/>
  <c r="L89" i="19"/>
  <c r="C146" i="19"/>
  <c r="C157" i="19"/>
  <c r="O157" i="19" s="1"/>
  <c r="G247" i="19" l="1"/>
  <c r="H247" i="19"/>
  <c r="J247" i="19"/>
  <c r="K247" i="19"/>
  <c r="O202" i="19"/>
  <c r="R202" i="19" s="1"/>
  <c r="F144" i="19"/>
  <c r="F247" i="19" s="1"/>
  <c r="N247" i="19"/>
  <c r="M247" i="19"/>
  <c r="E247" i="19"/>
  <c r="D247" i="19"/>
  <c r="O146" i="19"/>
  <c r="C144" i="19"/>
  <c r="C56" i="19"/>
  <c r="O56" i="19" s="1"/>
  <c r="R56" i="19" s="1"/>
  <c r="O57" i="19"/>
  <c r="O14" i="19"/>
  <c r="C12" i="19"/>
  <c r="L113" i="19"/>
  <c r="O113" i="19" s="1"/>
  <c r="R113" i="19" s="1"/>
  <c r="O121" i="19"/>
  <c r="L88" i="19"/>
  <c r="O88" i="19" s="1"/>
  <c r="R88" i="19" s="1"/>
  <c r="O89" i="19"/>
  <c r="I247" i="19"/>
  <c r="O144" i="19" l="1"/>
  <c r="R144" i="19" s="1"/>
  <c r="O12" i="19"/>
  <c r="C247" i="19"/>
  <c r="L247" i="19"/>
  <c r="O247" i="19" l="1"/>
  <c r="R1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astoskiene</author>
    <author>Audrone Stoskiene</author>
  </authors>
  <commentList>
    <comment ref="L89" authorId="0" shapeId="0" xr:uid="{2586F738-3004-42E0-8DEE-7DDE007DB332}">
      <text>
        <r>
          <rPr>
            <sz val="9"/>
            <color indexed="81"/>
            <rFont val="Tahoma"/>
            <family val="2"/>
            <charset val="186"/>
          </rPr>
          <t xml:space="preserve">
su likuciu 2023-12-31
55000+70000+50000+114396</t>
        </r>
      </text>
    </comment>
    <comment ref="G111" authorId="1" shapeId="0" xr:uid="{AC2FEAAB-6211-469F-BA95-9DABE55375E7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mazinta 16580 Eur del paslaugos pirkimo</t>
        </r>
      </text>
    </comment>
    <comment ref="E114" authorId="1" shapeId="0" xr:uid="{AFEA9E59-356C-48A9-BAB5-5BB83187465D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knygos</t>
        </r>
      </text>
    </comment>
    <comment ref="M180" authorId="1" shapeId="0" xr:uid="{F18AAAAA-96F3-413A-AEF3-F4D735EE9B6D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biuru valymui</t>
        </r>
      </text>
    </comment>
    <comment ref="E224" authorId="1" shapeId="0" xr:uid="{74DA13F6-9FEC-41C0-A365-62A2033D3A98}">
      <text>
        <r>
          <rPr>
            <b/>
            <sz val="9"/>
            <color indexed="81"/>
            <rFont val="Tahoma"/>
            <family val="2"/>
            <charset val="186"/>
          </rPr>
          <t>Audrone Stoskiene:</t>
        </r>
        <r>
          <rPr>
            <sz val="9"/>
            <color indexed="81"/>
            <rFont val="Tahoma"/>
            <family val="2"/>
            <charset val="186"/>
          </rPr>
          <t xml:space="preserve">
savivaldybės renovuoto būsto paskola</t>
        </r>
      </text>
    </comment>
    <comment ref="F241" authorId="1" shapeId="0" xr:uid="{ADBB85F5-6829-4138-9697-995FFC285736}">
      <text>
        <r>
          <rPr>
            <sz val="9"/>
            <color indexed="81"/>
            <rFont val="Tahoma"/>
            <family val="2"/>
            <charset val="186"/>
          </rPr>
          <t xml:space="preserve">
PVM kompensacija</t>
        </r>
      </text>
    </comment>
  </commentList>
</comments>
</file>

<file path=xl/sharedStrings.xml><?xml version="1.0" encoding="utf-8"?>
<sst xmlns="http://schemas.openxmlformats.org/spreadsheetml/2006/main" count="697" uniqueCount="587">
  <si>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</si>
  <si>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</si>
  <si>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</si>
  <si>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</si>
  <si>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</si>
  <si>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</si>
  <si>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</si>
  <si>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</si>
  <si>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</si>
  <si>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</si>
  <si>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</si>
  <si>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</si>
  <si>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</si>
  <si>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</si>
  <si>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</si>
  <si>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</si>
  <si>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</si>
  <si>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</si>
  <si>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</si>
  <si>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</si>
  <si>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ilgalaikiam turtui kurti, įsigyti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</si>
  <si>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</si>
  <si>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</si>
  <si>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</si>
  <si>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</si>
  <si>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</si>
  <si>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</si>
  <si>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</si>
  <si>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</si>
  <si>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</si>
  <si>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</si>
  <si>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</si>
  <si>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</si>
  <si>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</si>
  <si>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</si>
  <si>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</si>
  <si>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</si>
  <si>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</si>
  <si>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</si>
  <si>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</si>
  <si>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</si>
  <si>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</si>
  <si>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</si>
  <si>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</si>
  <si>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</si>
  <si>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</si>
  <si>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</si>
  <si>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</si>
  <si>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</si>
  <si>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</si>
  <si>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</si>
  <si>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</si>
  <si>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</si>
  <si>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</si>
  <si>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</si>
  <si>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</si>
  <si>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</si>
  <si>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</si>
  <si>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</si>
  <si>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</si>
  <si>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</si>
  <si>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</si>
  <si>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</si>
  <si>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</si>
  <si>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</si>
  <si>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</si>
  <si>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</si>
  <si>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</si>
  <si>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</si>
  <si>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</si>
  <si>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</si>
  <si>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</si>
  <si>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</si>
  <si>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</si>
  <si>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</si>
  <si>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</si>
  <si>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</si>
  <si>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</si>
  <si>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</si>
  <si>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</si>
  <si>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</si>
  <si>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</si>
  <si>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</si>
  <si>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</si>
  <si>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</si>
  <si>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</si>
  <si>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</si>
  <si>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</si>
  <si>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</si>
  <si>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</si>
  <si>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</si>
  <si>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</si>
  <si>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</si>
  <si>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</si>
  <si>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</si>
  <si>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</si>
  <si>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</si>
  <si>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</si>
  <si>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</si>
  <si>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</si>
  <si>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</si>
  <si>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</si>
  <si>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</si>
  <si>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</si>
  <si>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</si>
  <si>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</si>
  <si>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</si>
  <si>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</si>
  <si>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</si>
  <si>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</si>
  <si>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</si>
  <si>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</si>
  <si>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</si>
  <si>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</si>
  <si>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</si>
  <si>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</si>
  <si>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</si>
  <si>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</si>
  <si>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</si>
  <si>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</si>
  <si>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</si>
  <si>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</si>
  <si>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</si>
  <si>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</si>
  <si>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</si>
  <si>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</si>
  <si>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</si>
  <si>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</si>
  <si>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</si>
  <si>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</si>
  <si>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</si>
  <si>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</si>
  <si>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</si>
  <si>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</si>
  <si>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</si>
  <si>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</si>
  <si>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</si>
  <si>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</si>
  <si>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</si>
  <si>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</si>
  <si>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</si>
  <si>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</si>
  <si>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</si>
  <si>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</si>
  <si>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</si>
  <si>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</si>
  <si>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</si>
  <si>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</si>
  <si>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</si>
  <si>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</si>
  <si>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</si>
  <si>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</si>
  <si>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</si>
  <si>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</si>
  <si>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</si>
  <si>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</si>
  <si>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</si>
  <si>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</si>
  <si>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</si>
  <si>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</si>
  <si>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</si>
  <si>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</si>
  <si>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</si>
  <si>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</si>
  <si>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</si>
  <si>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</si>
  <si>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</si>
  <si>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</si>
  <si>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</si>
  <si>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</si>
  <si>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</si>
  <si>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</si>
  <si>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</si>
  <si>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</si>
  <si>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</si>
  <si>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</si>
  <si>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</si>
  <si>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</si>
  <si>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</si>
  <si>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</si>
  <si>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</si>
  <si>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</si>
  <si>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</si>
  <si>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</si>
  <si>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</si>
  <si>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</si>
  <si>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</si>
  <si>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</si>
  <si>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</si>
  <si>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</si>
  <si>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</si>
  <si>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</si>
  <si>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</si>
  <si>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</si>
  <si>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</si>
  <si>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</si>
  <si>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</si>
  <si>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</si>
  <si>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</si>
  <si>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</si>
  <si>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</si>
  <si>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</si>
  <si>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</si>
  <si>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</si>
  <si>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</si>
  <si>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</si>
  <si>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</si>
  <si>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</si>
  <si>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</si>
  <si>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</si>
  <si>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</si>
  <si>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</si>
  <si>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</si>
  <si>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</si>
  <si>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</si>
  <si>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</si>
  <si>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</si>
  <si>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</si>
  <si>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</si>
  <si>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</si>
  <si>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</si>
  <si>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</si>
  <si>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</si>
  <si>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</si>
  <si>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</si>
  <si>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</si>
  <si>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</si>
  <si>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</si>
  <si>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</si>
  <si>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</si>
  <si>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</si>
  <si>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</si>
  <si>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</si>
  <si>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</si>
  <si>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</si>
  <si>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</si>
  <si>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</si>
  <si>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</si>
  <si>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</si>
  <si>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</si>
  <si>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</si>
  <si>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</si>
  <si>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</si>
  <si>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</si>
  <si>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</si>
  <si>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</si>
  <si>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</si>
  <si>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</si>
  <si>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</si>
  <si>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</si>
  <si>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</si>
  <si>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</si>
  <si>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</si>
  <si>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</si>
  <si>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</si>
  <si>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</si>
  <si>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</si>
  <si>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</si>
  <si>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</si>
  <si>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</si>
  <si>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</si>
  <si>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</si>
  <si>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</si>
  <si>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</si>
  <si>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</si>
  <si>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</si>
  <si>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</si>
  <si>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</si>
  <si>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</si>
  <si>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</si>
  <si>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</si>
  <si>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</si>
  <si>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</si>
  <si>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</si>
  <si>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</si>
  <si>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</si>
  <si>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</si>
  <si>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</si>
  <si>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</si>
  <si>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</si>
  <si>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</si>
  <si>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</si>
  <si>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</si>
  <si>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</si>
  <si>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</si>
  <si>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</si>
  <si>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</si>
  <si>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</si>
  <si>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</si>
  <si>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</si>
  <si>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</si>
  <si>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</si>
  <si>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</si>
  <si>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</si>
  <si>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</si>
  <si>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</si>
  <si>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</si>
  <si>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</si>
  <si>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</si>
  <si>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</si>
  <si>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</si>
  <si>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</si>
  <si>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</si>
  <si>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</si>
  <si>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</si>
  <si>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</si>
  <si>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</si>
  <si>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</si>
  <si>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</si>
  <si>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</si>
  <si>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</si>
  <si>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</si>
  <si>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</si>
  <si>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</si>
  <si>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</si>
  <si>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</si>
  <si>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</si>
  <si>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</si>
  <si>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</si>
  <si>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</si>
  <si>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</si>
  <si>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</si>
  <si>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</si>
  <si>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</si>
  <si>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</si>
  <si>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</si>
  <si>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</si>
  <si>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</si>
  <si>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</si>
  <si>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</si>
  <si>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</si>
  <si>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</si>
  <si>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</si>
  <si>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</si>
  <si>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</si>
  <si>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</si>
  <si>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</si>
  <si>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</si>
  <si>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</si>
  <si>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</si>
  <si>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</si>
  <si>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</si>
  <si>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</si>
  <si>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</si>
  <si>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</si>
  <si>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</si>
  <si>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</si>
  <si>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</si>
  <si>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</si>
  <si>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</si>
  <si>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</si>
  <si>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</si>
  <si>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</si>
  <si>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</si>
  <si>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</si>
  <si>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</si>
  <si>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</si>
  <si>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</si>
  <si>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</si>
  <si>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</si>
  <si>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</si>
  <si>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</si>
  <si>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</si>
  <si>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</si>
  <si>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</si>
  <si>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</si>
  <si>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</si>
  <si>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</si>
  <si>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</si>
  <si>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</si>
  <si>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</si>
  <si>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</si>
  <si>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</si>
  <si>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</si>
  <si>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</si>
  <si>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</si>
  <si>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</si>
  <si>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</si>
  <si>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</si>
  <si>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</si>
  <si>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</si>
  <si>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</si>
  <si>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</si>
  <si>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</si>
  <si>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</si>
  <si>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</si>
  <si>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</si>
  <si>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</si>
  <si>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</si>
  <si>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</si>
  <si>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</si>
  <si>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</si>
  <si>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</si>
  <si>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</si>
  <si>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</si>
  <si>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</si>
  <si>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</si>
  <si>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</si>
  <si>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</si>
  <si>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</si>
  <si>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</si>
  <si>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</si>
  <si>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</si>
  <si>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</si>
  <si>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</si>
  <si>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</si>
  <si>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</si>
  <si>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</si>
  <si>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</si>
  <si>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</si>
  <si>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</si>
  <si>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</si>
  <si>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</si>
  <si>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</si>
  <si>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</si>
  <si>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</si>
  <si>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</si>
  <si>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</si>
  <si>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</si>
  <si>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</si>
  <si>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</si>
  <si>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</si>
  <si>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</si>
  <si>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</si>
  <si>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</si>
  <si>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</si>
  <si>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</si>
  <si>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</si>
  <si>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</si>
  <si>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</si>
  <si>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</si>
  <si>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</si>
  <si>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</si>
  <si>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</si>
  <si>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</si>
  <si>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</si>
  <si>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</si>
  <si>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</si>
  <si>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</si>
  <si>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</si>
  <si>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</si>
  <si>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</si>
  <si>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</si>
  <si>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</si>
  <si>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</si>
  <si>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</si>
  <si>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</si>
  <si>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</si>
  <si>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</si>
  <si>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</si>
  <si>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</si>
  <si>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</si>
  <si>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</si>
  <si>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</si>
  <si>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</si>
  <si>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</si>
  <si>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</si>
  <si>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</si>
  <si>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</si>
  <si>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</si>
  <si>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</si>
  <si>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</si>
  <si>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</si>
  <si>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</si>
  <si>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</si>
  <si>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</si>
  <si>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</si>
  <si>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</si>
  <si>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</si>
  <si>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</si>
  <si>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</si>
  <si>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</si>
  <si>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</si>
  <si>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</si>
  <si>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</si>
  <si>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</si>
  <si>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</si>
  <si>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</si>
  <si>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</si>
  <si>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</si>
  <si>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</si>
  <si>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</si>
  <si>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</si>
  <si>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</si>
  <si>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</si>
  <si>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</si>
  <si>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</si>
  <si>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</si>
  <si>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</si>
  <si>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</si>
  <si>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</si>
  <si>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</si>
  <si>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</si>
  <si>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</si>
  <si>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2.3</t>
  </si>
  <si>
    <t>valstybės biudžeto lėšos mokymo reikmėms finansuoti</t>
  </si>
  <si>
    <t>2.4</t>
  </si>
  <si>
    <t>tikslinės Europos Sąjungos finansinės paramos lėšos</t>
  </si>
  <si>
    <t>2.5</t>
  </si>
  <si>
    <t>kitos tikslinės valstybės biudžeto lėšos</t>
  </si>
  <si>
    <t>2.6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</si>
  <si>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</si>
  <si>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</si>
  <si>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</si>
  <si>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išlaidoms</t>
  </si>
  <si>
    <t>pajamos, kontrolinis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</si>
  <si>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</si>
  <si>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</si>
  <si>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</si>
  <si>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</si>
  <si>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</si>
  <si>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</si>
  <si>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</si>
  <si>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</si>
  <si>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</si>
  <si>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</si>
  <si>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</si>
  <si>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</si>
  <si>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</si>
  <si>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Palūkanos už sąskaitų likučius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</si>
  <si>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</si>
  <si>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</si>
  <si>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</si>
  <si>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</si>
  <si>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</si>
  <si>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</si>
  <si>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</si>
  <si>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</si>
  <si>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</si>
  <si>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</si>
  <si>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 xml:space="preserve">                                                               (2024 m. rugsėjo 26 d. sprendimo Nr. T2-</t>
  </si>
  <si>
    <t xml:space="preserve">                                        (2024 m. rugsėjo 26 d. sprendimo Nr. T2-</t>
  </si>
  <si>
    <t>(2024 m. rugsėjo 26 d. sprendimo Nr. T2-    redakcija)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</si>
  <si>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</si>
  <si>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</si>
  <si>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</si>
  <si>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</si>
  <si>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</si>
  <si>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</si>
  <si>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</si>
  <si>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</si>
  <si>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</si>
  <si>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</si>
  <si>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</si>
  <si>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</si>
  <si>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</si>
  <si>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</si>
  <si>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</si>
  <si>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</si>
  <si>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</si>
  <si>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</si>
  <si>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</si>
  <si>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</si>
  <si>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</si>
  <si>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</si>
  <si>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</si>
  <si>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</si>
  <si>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</si>
  <si>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</si>
  <si>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</si>
  <si>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</si>
  <si>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</si>
  <si>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</si>
  <si>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</si>
  <si>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</si>
  <si>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                                               (2024 m. rugsėjo 26 d. sprendimo Nr. T2-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</si>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</sst>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10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2" fillId="0" borderId="0" xfId="0" applyFont="1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16" fontId="10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" fontId="1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0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 wrapText="1"/>
    </xf>
    <xf numFmtId="0" fontId="17" fillId="0" borderId="1" xfId="0" applyFont="1" applyBorder="1" applyAlignment="1">
      <alignment horizontal="right" wrapText="1"/>
    </xf>
    <xf numFmtId="0" fontId="5" fillId="0" borderId="1" xfId="0" applyFont="1" applyBorder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14" fillId="0" borderId="1" xfId="0" applyFont="1" applyBorder="1" applyAlignment="1">
      <alignment wrapTex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6" fillId="0" borderId="1" xfId="0" applyFont="1" applyBorder="1"/>
    <xf numFmtId="16" fontId="10" fillId="0" borderId="4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8" fillId="0" borderId="1" xfId="0" applyFont="1" applyBorder="1" applyAlignment="1">
      <alignment horizontal="justify" vertical="top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wrapText="1"/>
    </xf>
    <xf numFmtId="0" fontId="5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right"/>
    </xf>
    <xf numFmtId="0" fontId="6" fillId="0" borderId="6" xfId="0" applyFont="1" applyBorder="1"/>
    <xf numFmtId="0" fontId="5" fillId="0" borderId="6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0" fillId="0" borderId="2" xfId="0" applyFont="1" applyBorder="1" applyAlignment="1">
      <alignment horizontal="right"/>
    </xf>
    <xf numFmtId="0" fontId="6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6" fillId="0" borderId="3" xfId="0" applyFont="1" applyBorder="1"/>
    <xf numFmtId="0" fontId="1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9" fillId="0" borderId="1" xfId="0" applyFont="1" applyBorder="1" applyAlignment="1">
      <alignment vertical="top" wrapText="1"/>
    </xf>
    <xf numFmtId="0" fontId="7" fillId="2" borderId="7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wrapText="1"/>
    </xf>
    <xf numFmtId="16" fontId="10" fillId="0" borderId="1" xfId="0" applyNumberFormat="1" applyFont="1" applyBorder="1" applyAlignment="1">
      <alignment horizontal="right" wrapText="1"/>
    </xf>
    <xf numFmtId="17" fontId="10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7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2" fillId="0" borderId="1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right" vertical="center" wrapText="1"/>
    </xf>
    <xf numFmtId="0" fontId="22" fillId="0" borderId="1" xfId="0" applyFont="1" applyBorder="1" applyAlignment="1">
      <alignment vertical="center"/>
    </xf>
    <xf numFmtId="0" fontId="25" fillId="0" borderId="1" xfId="0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0" fontId="27" fillId="0" borderId="1" xfId="0" applyFont="1" applyBorder="1" applyAlignment="1">
      <alignment horizontal="right" wrapText="1"/>
    </xf>
    <xf numFmtId="0" fontId="26" fillId="0" borderId="1" xfId="0" applyFont="1" applyBorder="1" applyAlignment="1">
      <alignment wrapText="1"/>
    </xf>
    <xf numFmtId="0" fontId="25" fillId="0" borderId="1" xfId="0" applyFont="1" applyBorder="1" applyAlignment="1">
      <alignment horizontal="right"/>
    </xf>
    <xf numFmtId="0" fontId="26" fillId="0" borderId="1" xfId="0" applyFont="1" applyBorder="1" applyAlignment="1">
      <alignment horizontal="right"/>
    </xf>
    <xf numFmtId="0" fontId="26" fillId="0" borderId="4" xfId="0" applyFont="1" applyBorder="1" applyAlignment="1">
      <alignment horizontal="right" wrapText="1"/>
    </xf>
    <xf numFmtId="0" fontId="25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E57"/>
  <sheetViews>
    <sheetView tabSelected="1" topLeftCell="A41" workbookViewId="0">
      <selection activeCell="C29" sqref="C29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5" width="10.5546875" style="8" customWidth="1"/>
    <col min="6" max="16384" width="9.109375" style="8"/>
  </cols>
  <sheetData>
    <row r="1" spans="1:3" ht="15.6" x14ac:dyDescent="0.3">
      <c r="B1" s="137" t="s">
        <v>209</v>
      </c>
      <c r="C1" s="137"/>
    </row>
    <row r="2" spans="1:3" ht="15.6" x14ac:dyDescent="0.3">
      <c r="B2" s="137" t="s">
        <v>489</v>
      </c>
      <c r="C2" s="137"/>
    </row>
    <row r="3" spans="1:3" ht="15.6" x14ac:dyDescent="0.3">
      <c r="B3" s="16" t="s">
        <v>565</v>
      </c>
      <c r="C3" s="16"/>
    </row>
    <row r="4" spans="1:3" ht="15.6" x14ac:dyDescent="0.3">
      <c r="B4" s="16" t="s">
        <v>379</v>
      </c>
      <c r="C4" s="16"/>
    </row>
    <row r="5" spans="1:3" ht="15.6" x14ac:dyDescent="0.3">
      <c r="B5" s="16" t="s">
        <v>433</v>
      </c>
      <c r="C5" s="17"/>
    </row>
    <row r="6" spans="1:3" ht="21.75" customHeight="1" x14ac:dyDescent="0.3">
      <c r="B6" s="16"/>
      <c r="C6" s="17"/>
    </row>
    <row r="7" spans="1:3" ht="15.6" x14ac:dyDescent="0.3">
      <c r="A7" s="138" t="s">
        <v>506</v>
      </c>
      <c r="B7" s="138"/>
      <c r="C7" s="138"/>
    </row>
    <row r="8" spans="1:3" ht="15" customHeight="1" x14ac:dyDescent="0.25"/>
    <row r="9" spans="1:3" ht="33.75" customHeight="1" x14ac:dyDescent="0.25">
      <c r="A9" s="18" t="s">
        <v>37</v>
      </c>
      <c r="B9" s="18" t="s">
        <v>38</v>
      </c>
      <c r="C9" s="18" t="s">
        <v>210</v>
      </c>
    </row>
    <row r="10" spans="1:3" ht="18.75" customHeight="1" x14ac:dyDescent="0.25">
      <c r="A10" s="18" t="s">
        <v>50</v>
      </c>
      <c r="B10" s="19" t="s">
        <v>434</v>
      </c>
      <c r="C10" s="20">
        <f>SUM(C11:C19)</f>
        <v>28099000</v>
      </c>
    </row>
    <row r="11" spans="1:3" ht="17.25" customHeight="1" x14ac:dyDescent="0.25">
      <c r="A11" s="21" t="s">
        <v>211</v>
      </c>
      <c r="B11" s="22" t="s">
        <v>212</v>
      </c>
      <c r="C11" s="126">
        <f>26144000+40000+650000</f>
        <v>26834000</v>
      </c>
    </row>
    <row r="12" spans="1:3" ht="17.25" customHeight="1" x14ac:dyDescent="0.25">
      <c r="A12" s="21" t="s">
        <v>213</v>
      </c>
      <c r="B12" s="22" t="s">
        <v>214</v>
      </c>
      <c r="C12" s="23">
        <v>610000</v>
      </c>
    </row>
    <row r="13" spans="1:3" ht="17.25" customHeight="1" x14ac:dyDescent="0.25">
      <c r="A13" s="21" t="s">
        <v>215</v>
      </c>
      <c r="B13" s="22" t="s">
        <v>216</v>
      </c>
      <c r="C13" s="23">
        <v>430000</v>
      </c>
    </row>
    <row r="14" spans="1:3" ht="17.25" customHeight="1" x14ac:dyDescent="0.25">
      <c r="A14" s="21" t="s">
        <v>217</v>
      </c>
      <c r="B14" s="22" t="s">
        <v>254</v>
      </c>
      <c r="C14" s="23">
        <v>10000</v>
      </c>
    </row>
    <row r="15" spans="1:3" ht="30.75" customHeight="1" x14ac:dyDescent="0.25">
      <c r="A15" s="21" t="s">
        <v>218</v>
      </c>
      <c r="B15" s="22" t="s">
        <v>220</v>
      </c>
      <c r="C15" s="23">
        <v>100000</v>
      </c>
    </row>
    <row r="16" spans="1:3" ht="17.25" customHeight="1" x14ac:dyDescent="0.3">
      <c r="A16" s="21" t="s">
        <v>219</v>
      </c>
      <c r="B16" s="22" t="s">
        <v>222</v>
      </c>
      <c r="C16" s="24">
        <v>43000</v>
      </c>
    </row>
    <row r="17" spans="1:5" ht="17.25" customHeight="1" x14ac:dyDescent="0.25">
      <c r="A17" s="21" t="s">
        <v>221</v>
      </c>
      <c r="B17" s="25" t="s">
        <v>255</v>
      </c>
      <c r="C17" s="26">
        <v>15000</v>
      </c>
    </row>
    <row r="18" spans="1:5" ht="17.25" customHeight="1" x14ac:dyDescent="0.25">
      <c r="A18" s="21" t="s">
        <v>223</v>
      </c>
      <c r="B18" s="22" t="s">
        <v>224</v>
      </c>
      <c r="C18" s="23">
        <v>7000</v>
      </c>
    </row>
    <row r="19" spans="1:5" ht="17.25" customHeight="1" x14ac:dyDescent="0.25">
      <c r="A19" s="21" t="s">
        <v>507</v>
      </c>
      <c r="B19" s="22" t="s">
        <v>519</v>
      </c>
      <c r="C19" s="23">
        <v>50000</v>
      </c>
    </row>
    <row r="20" spans="1:5" ht="17.25" customHeight="1" x14ac:dyDescent="0.25">
      <c r="A20" s="18" t="s">
        <v>49</v>
      </c>
      <c r="B20" s="19" t="s">
        <v>225</v>
      </c>
      <c r="C20" s="20">
        <f>SUM(C21:C29)</f>
        <v>2226791</v>
      </c>
    </row>
    <row r="21" spans="1:5" ht="17.25" customHeight="1" x14ac:dyDescent="0.25">
      <c r="A21" s="21" t="s">
        <v>43</v>
      </c>
      <c r="B21" s="22" t="s">
        <v>226</v>
      </c>
      <c r="C21" s="23">
        <v>794976</v>
      </c>
    </row>
    <row r="22" spans="1:5" ht="17.25" customHeight="1" x14ac:dyDescent="0.3">
      <c r="A22" s="21" t="s">
        <v>44</v>
      </c>
      <c r="B22" s="22" t="s">
        <v>227</v>
      </c>
      <c r="C22" s="24">
        <v>12000</v>
      </c>
    </row>
    <row r="23" spans="1:5" ht="17.25" customHeight="1" x14ac:dyDescent="0.25">
      <c r="A23" s="21" t="s">
        <v>45</v>
      </c>
      <c r="B23" s="22" t="s">
        <v>228</v>
      </c>
      <c r="C23" s="23">
        <v>50000</v>
      </c>
    </row>
    <row r="24" spans="1:5" ht="17.25" customHeight="1" x14ac:dyDescent="0.25">
      <c r="A24" s="21" t="s">
        <v>46</v>
      </c>
      <c r="B24" s="22" t="s">
        <v>229</v>
      </c>
      <c r="C24" s="23">
        <v>55000</v>
      </c>
    </row>
    <row r="25" spans="1:5" ht="17.25" customHeight="1" x14ac:dyDescent="0.25">
      <c r="A25" s="21" t="s">
        <v>47</v>
      </c>
      <c r="B25" s="22" t="s">
        <v>230</v>
      </c>
      <c r="C25" s="23">
        <v>50000</v>
      </c>
    </row>
    <row r="26" spans="1:5" ht="17.25" customHeight="1" x14ac:dyDescent="0.25">
      <c r="A26" s="21" t="s">
        <v>48</v>
      </c>
      <c r="B26" s="22" t="s">
        <v>231</v>
      </c>
      <c r="C26" s="23">
        <v>70000</v>
      </c>
      <c r="E26" s="4"/>
    </row>
    <row r="27" spans="1:5" ht="17.25" customHeight="1" x14ac:dyDescent="0.25">
      <c r="A27" s="21" t="s">
        <v>63</v>
      </c>
      <c r="B27" s="22" t="s">
        <v>256</v>
      </c>
      <c r="C27" s="126">
        <f>145494+13000+1000+621+2000</f>
        <v>162115</v>
      </c>
    </row>
    <row r="28" spans="1:5" ht="17.25" customHeight="1" x14ac:dyDescent="0.25">
      <c r="A28" s="21" t="s">
        <v>64</v>
      </c>
      <c r="B28" s="22" t="s">
        <v>257</v>
      </c>
      <c r="C28" s="126">
        <f>133956+500+60310-3770</f>
        <v>190996</v>
      </c>
    </row>
    <row r="29" spans="1:5" ht="17.25" customHeight="1" x14ac:dyDescent="0.25">
      <c r="A29" s="21" t="s">
        <v>65</v>
      </c>
      <c r="B29" s="93" t="s">
        <v>232</v>
      </c>
      <c r="C29" s="126">
        <f>911824+20460-90580</f>
        <v>841704</v>
      </c>
    </row>
    <row r="30" spans="1:5" ht="17.25" customHeight="1" x14ac:dyDescent="0.25">
      <c r="A30" s="18" t="s">
        <v>51</v>
      </c>
      <c r="B30" s="19" t="s">
        <v>258</v>
      </c>
      <c r="C30" s="20">
        <f>SUM(C31:C48)</f>
        <v>19558836</v>
      </c>
    </row>
    <row r="31" spans="1:5" ht="17.25" customHeight="1" x14ac:dyDescent="0.25">
      <c r="A31" s="21" t="s">
        <v>68</v>
      </c>
      <c r="B31" s="22" t="s">
        <v>233</v>
      </c>
      <c r="C31" s="126">
        <f>4213604-9600+143000</f>
        <v>4347004</v>
      </c>
    </row>
    <row r="32" spans="1:5" ht="17.25" customHeight="1" x14ac:dyDescent="0.25">
      <c r="A32" s="21" t="s">
        <v>234</v>
      </c>
      <c r="B32" s="22" t="s">
        <v>349</v>
      </c>
      <c r="C32" s="23">
        <v>10538400</v>
      </c>
    </row>
    <row r="33" spans="1:3" ht="17.25" customHeight="1" x14ac:dyDescent="0.25">
      <c r="A33" s="21" t="s">
        <v>235</v>
      </c>
      <c r="B33" s="22" t="s">
        <v>237</v>
      </c>
      <c r="C33" s="23">
        <v>16000</v>
      </c>
    </row>
    <row r="34" spans="1:3" ht="17.25" customHeight="1" x14ac:dyDescent="0.25">
      <c r="A34" s="21" t="s">
        <v>236</v>
      </c>
      <c r="B34" s="22" t="s">
        <v>508</v>
      </c>
      <c r="C34" s="23">
        <v>142200</v>
      </c>
    </row>
    <row r="35" spans="1:3" ht="17.25" customHeight="1" x14ac:dyDescent="0.25">
      <c r="A35" s="21" t="s">
        <v>238</v>
      </c>
      <c r="B35" s="22" t="s">
        <v>380</v>
      </c>
      <c r="C35" s="23">
        <v>110191</v>
      </c>
    </row>
    <row r="36" spans="1:3" ht="17.25" customHeight="1" x14ac:dyDescent="0.25">
      <c r="A36" s="21" t="s">
        <v>239</v>
      </c>
      <c r="B36" s="22" t="s">
        <v>435</v>
      </c>
      <c r="C36" s="126">
        <f>232300+13400</f>
        <v>245700</v>
      </c>
    </row>
    <row r="37" spans="1:3" ht="17.25" customHeight="1" x14ac:dyDescent="0.25">
      <c r="A37" s="21" t="s">
        <v>240</v>
      </c>
      <c r="B37" s="22" t="s">
        <v>436</v>
      </c>
      <c r="C37" s="126">
        <f>156564+1025738+267039+220153</f>
        <v>1669494</v>
      </c>
    </row>
    <row r="38" spans="1:3" ht="17.25" customHeight="1" x14ac:dyDescent="0.25">
      <c r="A38" s="21" t="s">
        <v>241</v>
      </c>
      <c r="B38" s="22" t="s">
        <v>381</v>
      </c>
      <c r="C38" s="23">
        <v>32164</v>
      </c>
    </row>
    <row r="39" spans="1:3" ht="32.25" customHeight="1" x14ac:dyDescent="0.25">
      <c r="A39" s="21" t="s">
        <v>344</v>
      </c>
      <c r="B39" s="22" t="s">
        <v>509</v>
      </c>
      <c r="C39" s="126">
        <f>155351+53170-40001-20400-2775-3901-5000</f>
        <v>136444</v>
      </c>
    </row>
    <row r="40" spans="1:3" ht="17.25" customHeight="1" x14ac:dyDescent="0.25">
      <c r="A40" s="21" t="s">
        <v>345</v>
      </c>
      <c r="B40" s="22" t="s">
        <v>510</v>
      </c>
      <c r="C40" s="23">
        <v>12500</v>
      </c>
    </row>
    <row r="41" spans="1:3" ht="31.5" customHeight="1" x14ac:dyDescent="0.25">
      <c r="A41" s="21" t="s">
        <v>346</v>
      </c>
      <c r="B41" s="22" t="s">
        <v>437</v>
      </c>
      <c r="C41" s="126">
        <f>6626+719+8640+27583+2042+12690+10797+2138+14091</f>
        <v>85326</v>
      </c>
    </row>
    <row r="42" spans="1:3" ht="17.25" customHeight="1" x14ac:dyDescent="0.25">
      <c r="A42" s="21" t="s">
        <v>382</v>
      </c>
      <c r="B42" s="22" t="s">
        <v>511</v>
      </c>
      <c r="C42" s="23">
        <v>51979</v>
      </c>
    </row>
    <row r="43" spans="1:3" ht="18" customHeight="1" x14ac:dyDescent="0.25">
      <c r="A43" s="21" t="s">
        <v>383</v>
      </c>
      <c r="B43" s="22" t="s">
        <v>512</v>
      </c>
      <c r="C43" s="126">
        <f>18146+6750+102000+6300</f>
        <v>133196</v>
      </c>
    </row>
    <row r="44" spans="1:3" ht="32.25" customHeight="1" x14ac:dyDescent="0.25">
      <c r="A44" s="21" t="s">
        <v>384</v>
      </c>
      <c r="B44" s="22" t="s">
        <v>513</v>
      </c>
      <c r="C44" s="23">
        <f>31000+545+4444</f>
        <v>35989</v>
      </c>
    </row>
    <row r="45" spans="1:3" ht="18" customHeight="1" x14ac:dyDescent="0.25">
      <c r="A45" s="21" t="s">
        <v>385</v>
      </c>
      <c r="B45" s="22" t="s">
        <v>386</v>
      </c>
      <c r="C45" s="23">
        <f>4775+10825</f>
        <v>15600</v>
      </c>
    </row>
    <row r="46" spans="1:3" ht="17.25" customHeight="1" x14ac:dyDescent="0.25">
      <c r="A46" s="21" t="s">
        <v>514</v>
      </c>
      <c r="B46" s="22" t="s">
        <v>242</v>
      </c>
      <c r="C46" s="23">
        <v>1816900</v>
      </c>
    </row>
    <row r="47" spans="1:3" ht="17.25" customHeight="1" x14ac:dyDescent="0.25">
      <c r="A47" s="21" t="s">
        <v>520</v>
      </c>
      <c r="B47" s="22" t="s">
        <v>523</v>
      </c>
      <c r="C47" s="23">
        <v>163000</v>
      </c>
    </row>
    <row r="48" spans="1:3" ht="36.75" customHeight="1" x14ac:dyDescent="0.25">
      <c r="A48" s="21" t="s">
        <v>522</v>
      </c>
      <c r="B48" s="22" t="s">
        <v>521</v>
      </c>
      <c r="C48" s="23">
        <v>6749</v>
      </c>
    </row>
    <row r="49" spans="1:3" s="4" customFormat="1" ht="18.75" customHeight="1" x14ac:dyDescent="0.25">
      <c r="A49" s="18" t="s">
        <v>52</v>
      </c>
      <c r="B49" s="19" t="s">
        <v>243</v>
      </c>
      <c r="C49" s="20">
        <f>900000+30000</f>
        <v>930000</v>
      </c>
    </row>
    <row r="50" spans="1:3" s="4" customFormat="1" ht="19.5" customHeight="1" x14ac:dyDescent="0.25">
      <c r="A50" s="18" t="s">
        <v>53</v>
      </c>
      <c r="B50" s="19" t="s">
        <v>515</v>
      </c>
      <c r="C50" s="20">
        <f>SUM(C51:C54)</f>
        <v>2314458</v>
      </c>
    </row>
    <row r="51" spans="1:3" s="4" customFormat="1" ht="17.25" customHeight="1" x14ac:dyDescent="0.25">
      <c r="A51" s="21" t="s">
        <v>41</v>
      </c>
      <c r="B51" s="22" t="s">
        <v>259</v>
      </c>
      <c r="C51" s="27">
        <v>902100</v>
      </c>
    </row>
    <row r="52" spans="1:3" s="4" customFormat="1" ht="17.25" customHeight="1" x14ac:dyDescent="0.25">
      <c r="A52" s="21" t="s">
        <v>42</v>
      </c>
      <c r="B52" s="22" t="s">
        <v>516</v>
      </c>
      <c r="C52" s="27">
        <f>872938</f>
        <v>872938</v>
      </c>
    </row>
    <row r="53" spans="1:3" s="4" customFormat="1" ht="17.25" customHeight="1" x14ac:dyDescent="0.25">
      <c r="A53" s="21" t="s">
        <v>173</v>
      </c>
      <c r="B53" s="22" t="s">
        <v>517</v>
      </c>
      <c r="C53" s="27">
        <v>425024</v>
      </c>
    </row>
    <row r="54" spans="1:3" s="4" customFormat="1" ht="17.25" customHeight="1" x14ac:dyDescent="0.25">
      <c r="A54" s="21" t="s">
        <v>260</v>
      </c>
      <c r="B54" s="22" t="s">
        <v>261</v>
      </c>
      <c r="C54" s="27">
        <v>114396</v>
      </c>
    </row>
    <row r="55" spans="1:3" s="4" customFormat="1" ht="17.25" customHeight="1" x14ac:dyDescent="0.25">
      <c r="A55" s="18"/>
      <c r="B55" s="19" t="s">
        <v>244</v>
      </c>
      <c r="C55" s="20">
        <f>C10+C20+C30+C49+C50</f>
        <v>53129085</v>
      </c>
    </row>
    <row r="56" spans="1:3" s="4" customFormat="1" ht="17.25" hidden="1" customHeight="1" thickBot="1" x14ac:dyDescent="0.3">
      <c r="A56" s="70"/>
      <c r="B56" s="71"/>
      <c r="C56" s="94">
        <v>4119650</v>
      </c>
    </row>
    <row r="57" spans="1:3" ht="42.75" customHeight="1" x14ac:dyDescent="0.25">
      <c r="B57" s="92" t="s">
        <v>518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C35"/>
  <sheetViews>
    <sheetView showZeros="0" topLeftCell="A6" workbookViewId="0">
      <selection activeCell="C28" sqref="C28"/>
    </sheetView>
  </sheetViews>
  <sheetFormatPr defaultColWidth="9.109375" defaultRowHeight="13.8" x14ac:dyDescent="0.25"/>
  <cols>
    <col min="1" max="1" width="6" style="95" customWidth="1"/>
    <col min="2" max="2" width="71" style="8" customWidth="1"/>
    <col min="3" max="3" width="15" style="97" customWidth="1"/>
    <col min="4" max="4" width="4" style="8" customWidth="1"/>
    <col min="5" max="16384" width="9.109375" style="8"/>
  </cols>
  <sheetData>
    <row r="1" spans="1:3" ht="15.6" x14ac:dyDescent="0.3">
      <c r="B1" s="137" t="s">
        <v>209</v>
      </c>
      <c r="C1" s="137"/>
    </row>
    <row r="2" spans="1:3" ht="15.6" x14ac:dyDescent="0.3">
      <c r="B2" s="137" t="s">
        <v>489</v>
      </c>
      <c r="C2" s="137"/>
    </row>
    <row r="3" spans="1:3" ht="15.6" x14ac:dyDescent="0.3">
      <c r="B3" s="137" t="s">
        <v>531</v>
      </c>
      <c r="C3" s="137"/>
    </row>
    <row r="4" spans="1:3" ht="15.6" x14ac:dyDescent="0.3">
      <c r="B4" s="16" t="s">
        <v>379</v>
      </c>
      <c r="C4" s="16"/>
    </row>
    <row r="5" spans="1:3" ht="15.6" x14ac:dyDescent="0.3">
      <c r="B5" s="16" t="s">
        <v>387</v>
      </c>
      <c r="C5" s="68"/>
    </row>
    <row r="6" spans="1:3" ht="16.5" customHeight="1" x14ac:dyDescent="0.3">
      <c r="B6" s="17"/>
      <c r="C6" s="68"/>
    </row>
    <row r="7" spans="1:3" ht="18.75" customHeight="1" x14ac:dyDescent="0.25">
      <c r="B7" s="91"/>
      <c r="C7" s="96"/>
    </row>
    <row r="8" spans="1:3" ht="31.5" customHeight="1" x14ac:dyDescent="0.3">
      <c r="A8" s="139" t="s">
        <v>490</v>
      </c>
      <c r="B8" s="139"/>
      <c r="C8" s="139"/>
    </row>
    <row r="9" spans="1:3" ht="20.25" customHeight="1" x14ac:dyDescent="0.25"/>
    <row r="10" spans="1:3" ht="29.25" customHeight="1" x14ac:dyDescent="0.25">
      <c r="A10" s="18" t="s">
        <v>37</v>
      </c>
      <c r="B10" s="18" t="s">
        <v>245</v>
      </c>
      <c r="C10" s="18" t="s">
        <v>210</v>
      </c>
    </row>
    <row r="11" spans="1:3" ht="16.5" customHeight="1" x14ac:dyDescent="0.25">
      <c r="A11" s="18" t="s">
        <v>50</v>
      </c>
      <c r="B11" s="105" t="s">
        <v>246</v>
      </c>
      <c r="C11" s="20">
        <f>SUM(C12:C19)</f>
        <v>53129085</v>
      </c>
    </row>
    <row r="12" spans="1:3" ht="16.5" customHeight="1" x14ac:dyDescent="0.25">
      <c r="A12" s="21" t="s">
        <v>211</v>
      </c>
      <c r="B12" s="72" t="s">
        <v>247</v>
      </c>
      <c r="C12" s="126">
        <f>7134949+30000+270000+621-785-270000+31999+3000+200+2045</f>
        <v>7202029</v>
      </c>
    </row>
    <row r="13" spans="1:3" ht="16.5" customHeight="1" x14ac:dyDescent="0.25">
      <c r="A13" s="21" t="s">
        <v>213</v>
      </c>
      <c r="B13" s="72" t="s">
        <v>248</v>
      </c>
      <c r="C13" s="23">
        <f>314000+75000+974400</f>
        <v>1363400</v>
      </c>
    </row>
    <row r="14" spans="1:3" ht="16.5" customHeight="1" x14ac:dyDescent="0.25">
      <c r="A14" s="21" t="s">
        <v>215</v>
      </c>
      <c r="B14" s="72" t="s">
        <v>249</v>
      </c>
      <c r="C14" s="23">
        <v>117810</v>
      </c>
    </row>
    <row r="15" spans="1:3" ht="16.5" customHeight="1" x14ac:dyDescent="0.25">
      <c r="A15" s="21" t="s">
        <v>217</v>
      </c>
      <c r="B15" s="72" t="s">
        <v>250</v>
      </c>
      <c r="C15" s="126">
        <f>3155600+1816900+320000+135000+320600</f>
        <v>5748100</v>
      </c>
    </row>
    <row r="16" spans="1:3" ht="16.5" customHeight="1" x14ac:dyDescent="0.25">
      <c r="A16" s="21" t="s">
        <v>218</v>
      </c>
      <c r="B16" s="72" t="s">
        <v>251</v>
      </c>
      <c r="C16" s="126">
        <f>2194414+10825+4775+163000+7900-4188</f>
        <v>2376726</v>
      </c>
    </row>
    <row r="17" spans="1:3" ht="16.5" customHeight="1" x14ac:dyDescent="0.25">
      <c r="A17" s="21" t="s">
        <v>219</v>
      </c>
      <c r="B17" s="72" t="s">
        <v>252</v>
      </c>
      <c r="C17" s="126">
        <f>4084532+13000+1000-2830+2000</f>
        <v>4097702</v>
      </c>
    </row>
    <row r="18" spans="1:3" ht="16.5" customHeight="1" x14ac:dyDescent="0.25">
      <c r="A18" s="21" t="s">
        <v>221</v>
      </c>
      <c r="B18" s="72" t="s">
        <v>253</v>
      </c>
      <c r="C18" s="126">
        <f>20545804+10559+40334+8640+20460+6749-7900+270000+418024+60310+220153</f>
        <v>21593133</v>
      </c>
    </row>
    <row r="19" spans="1:3" ht="16.5" customHeight="1" x14ac:dyDescent="0.25">
      <c r="A19" s="21" t="s">
        <v>223</v>
      </c>
      <c r="B19" s="72" t="s">
        <v>270</v>
      </c>
      <c r="C19" s="126">
        <f>10107124+100000+445+53170+719+545+4444+6750+50000+27583-39216+2042+12690+240784+140000+13200+6300-2045-3770-90580</f>
        <v>10630185</v>
      </c>
    </row>
    <row r="20" spans="1:3" s="4" customFormat="1" ht="16.5" customHeight="1" x14ac:dyDescent="0.25">
      <c r="A20" s="18" t="s">
        <v>49</v>
      </c>
      <c r="B20" s="105" t="s">
        <v>491</v>
      </c>
      <c r="C20" s="20">
        <f>SUM(C21:C29)</f>
        <v>53129085</v>
      </c>
    </row>
    <row r="21" spans="1:3" ht="16.5" customHeight="1" x14ac:dyDescent="0.25">
      <c r="A21" s="21" t="s">
        <v>43</v>
      </c>
      <c r="B21" s="22" t="s">
        <v>492</v>
      </c>
      <c r="C21" s="126">
        <f>29236038+50000+650000</f>
        <v>29936038</v>
      </c>
    </row>
    <row r="22" spans="1:3" ht="31.2" x14ac:dyDescent="0.25">
      <c r="A22" s="21" t="s">
        <v>44</v>
      </c>
      <c r="B22" s="22" t="s">
        <v>493</v>
      </c>
      <c r="C22" s="126">
        <f>4213604-9600+143000</f>
        <v>4347004</v>
      </c>
    </row>
    <row r="23" spans="1:3" ht="16.5" hidden="1" customHeight="1" x14ac:dyDescent="0.25">
      <c r="A23" s="21" t="s">
        <v>235</v>
      </c>
      <c r="B23" s="22" t="s">
        <v>20</v>
      </c>
      <c r="C23" s="23"/>
    </row>
    <row r="24" spans="1:3" ht="16.5" customHeight="1" x14ac:dyDescent="0.25">
      <c r="A24" s="21" t="s">
        <v>494</v>
      </c>
      <c r="B24" s="22" t="s">
        <v>495</v>
      </c>
      <c r="C24" s="23">
        <v>10538400</v>
      </c>
    </row>
    <row r="25" spans="1:3" ht="16.5" customHeight="1" x14ac:dyDescent="0.25">
      <c r="A25" s="21" t="s">
        <v>496</v>
      </c>
      <c r="B25" s="22" t="s">
        <v>497</v>
      </c>
      <c r="C25" s="126">
        <f>156564+1025738+267039+220153</f>
        <v>1669494</v>
      </c>
    </row>
    <row r="26" spans="1:3" ht="16.5" customHeight="1" x14ac:dyDescent="0.25">
      <c r="A26" s="21" t="s">
        <v>498</v>
      </c>
      <c r="B26" s="22" t="s">
        <v>499</v>
      </c>
      <c r="C26" s="126">
        <f>808457+53170+719+545+4444+6750+8640+10825+4775+27583+6749-40001+2042+12690+163000+96950+13400+6300</f>
        <v>1187038</v>
      </c>
    </row>
    <row r="27" spans="1:3" ht="32.25" customHeight="1" x14ac:dyDescent="0.25">
      <c r="A27" s="21" t="s">
        <v>500</v>
      </c>
      <c r="B27" s="22" t="s">
        <v>501</v>
      </c>
      <c r="C27" s="126">
        <f>2701170+20460+13000+1000+621+2000+60310-3770-90580</f>
        <v>2704211</v>
      </c>
    </row>
    <row r="28" spans="1:3" ht="15.75" customHeight="1" x14ac:dyDescent="0.25">
      <c r="A28" s="21" t="s">
        <v>63</v>
      </c>
      <c r="B28" s="22" t="s">
        <v>502</v>
      </c>
      <c r="C28" s="23">
        <f>30000+900000</f>
        <v>930000</v>
      </c>
    </row>
    <row r="29" spans="1:3" ht="15.6" x14ac:dyDescent="0.25">
      <c r="A29" s="21" t="s">
        <v>64</v>
      </c>
      <c r="B29" s="22" t="s">
        <v>503</v>
      </c>
      <c r="C29" s="23">
        <f>1816900</f>
        <v>1816900</v>
      </c>
    </row>
    <row r="30" spans="1:3" ht="15.6" hidden="1" x14ac:dyDescent="0.25">
      <c r="A30" s="21" t="s">
        <v>71</v>
      </c>
      <c r="B30" s="22" t="s">
        <v>504</v>
      </c>
      <c r="C30" s="23">
        <f>C29-C31</f>
        <v>1816900</v>
      </c>
    </row>
    <row r="31" spans="1:3" ht="15.6" hidden="1" x14ac:dyDescent="0.25">
      <c r="A31" s="21" t="s">
        <v>72</v>
      </c>
      <c r="B31" s="22" t="s">
        <v>20</v>
      </c>
      <c r="C31" s="23"/>
    </row>
    <row r="32" spans="1:3" ht="17.25" customHeight="1" x14ac:dyDescent="0.25"/>
    <row r="33" spans="2:3" ht="15.6" hidden="1" x14ac:dyDescent="0.25">
      <c r="B33" s="69" t="s">
        <v>505</v>
      </c>
      <c r="C33" s="98">
        <v>51629403</v>
      </c>
    </row>
    <row r="34" spans="2:3" ht="45.75" customHeight="1" x14ac:dyDescent="0.3">
      <c r="B34" s="16" t="s">
        <v>388</v>
      </c>
      <c r="C34" s="99"/>
    </row>
    <row r="35" spans="2:3" ht="15.6" x14ac:dyDescent="0.25">
      <c r="B35" s="69"/>
      <c r="C35" s="100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V260"/>
  <sheetViews>
    <sheetView showZeros="0" workbookViewId="0">
      <pane ySplit="10" topLeftCell="A240" activePane="bottomLeft" state="frozen"/>
      <selection pane="bottomLeft" activeCell="O246" sqref="O246"/>
    </sheetView>
  </sheetViews>
  <sheetFormatPr defaultColWidth="9.109375" defaultRowHeight="15" customHeight="1" x14ac:dyDescent="0.25"/>
  <cols>
    <col min="1" max="1" width="6.33203125" style="78" customWidth="1"/>
    <col min="2" max="2" width="57.109375" style="79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15" customWidth="1"/>
    <col min="17" max="17" width="9.33203125" style="63" hidden="1" customWidth="1"/>
    <col min="18" max="18" width="10.44140625" style="63" hidden="1" customWidth="1"/>
    <col min="19" max="19" width="10.109375" style="15" bestFit="1" customWidth="1"/>
    <col min="20" max="16384" width="9.109375" style="15"/>
  </cols>
  <sheetData>
    <row r="1" spans="1:19" s="2" customFormat="1" ht="11.25" customHeight="1" x14ac:dyDescent="0.3">
      <c r="A1" s="42"/>
      <c r="B1" s="33"/>
      <c r="C1" s="1"/>
      <c r="F1" s="1"/>
      <c r="I1" s="1"/>
      <c r="J1" s="1"/>
      <c r="K1" s="1"/>
      <c r="L1" s="1"/>
      <c r="Q1" s="17"/>
      <c r="R1" s="17"/>
    </row>
    <row r="2" spans="1:19" s="2" customFormat="1" ht="15" customHeight="1" x14ac:dyDescent="0.3">
      <c r="A2" s="42"/>
      <c r="B2" s="33"/>
      <c r="C2" s="1"/>
      <c r="F2" s="1"/>
      <c r="I2" s="2" t="s">
        <v>11</v>
      </c>
      <c r="J2" s="2" t="s">
        <v>11</v>
      </c>
      <c r="K2" s="2" t="s">
        <v>11</v>
      </c>
      <c r="Q2" s="17"/>
      <c r="R2" s="17"/>
    </row>
    <row r="3" spans="1:19" s="2" customFormat="1" ht="15" customHeight="1" x14ac:dyDescent="0.3">
      <c r="A3" s="42"/>
      <c r="B3" s="33"/>
      <c r="C3" s="1"/>
      <c r="F3" s="1"/>
      <c r="I3" s="2" t="s">
        <v>439</v>
      </c>
      <c r="J3" s="2" t="s">
        <v>439</v>
      </c>
      <c r="Q3" s="17"/>
      <c r="R3" s="17"/>
    </row>
    <row r="4" spans="1:19" s="2" customFormat="1" ht="15" customHeight="1" x14ac:dyDescent="0.3">
      <c r="A4" s="42"/>
      <c r="B4" s="33"/>
      <c r="C4" s="1"/>
      <c r="D4" s="1"/>
      <c r="F4" s="1"/>
      <c r="G4" s="1"/>
      <c r="I4" s="2" t="s">
        <v>532</v>
      </c>
      <c r="J4" s="2" t="s">
        <v>440</v>
      </c>
      <c r="K4" s="2" t="s">
        <v>353</v>
      </c>
      <c r="M4" s="1"/>
      <c r="Q4" s="17"/>
      <c r="R4" s="17"/>
    </row>
    <row r="5" spans="1:19" s="2" customFormat="1" ht="15" customHeight="1" x14ac:dyDescent="0.3">
      <c r="A5" s="42"/>
      <c r="B5" s="33"/>
      <c r="C5" s="1"/>
      <c r="F5" s="1"/>
      <c r="I5" s="2" t="s">
        <v>159</v>
      </c>
      <c r="J5" s="2" t="s">
        <v>159</v>
      </c>
      <c r="K5" s="2" t="s">
        <v>159</v>
      </c>
      <c r="Q5" s="17"/>
      <c r="R5" s="17"/>
    </row>
    <row r="6" spans="1:19" s="2" customFormat="1" ht="12.75" customHeight="1" x14ac:dyDescent="0.3">
      <c r="A6" s="42"/>
      <c r="B6" s="33"/>
      <c r="C6" s="1"/>
      <c r="F6" s="1"/>
      <c r="I6" s="1"/>
      <c r="J6" s="1"/>
      <c r="L6" s="1"/>
      <c r="Q6" s="17"/>
      <c r="R6" s="17"/>
    </row>
    <row r="7" spans="1:19" s="2" customFormat="1" ht="15" customHeight="1" x14ac:dyDescent="0.3">
      <c r="A7" s="42"/>
      <c r="B7" s="138" t="s">
        <v>441</v>
      </c>
      <c r="C7" s="138"/>
      <c r="D7" s="138"/>
      <c r="E7" s="138"/>
      <c r="F7" s="138"/>
      <c r="G7" s="138"/>
      <c r="H7" s="138"/>
      <c r="I7" s="138"/>
      <c r="J7" s="138"/>
      <c r="K7" s="138"/>
      <c r="Q7" s="17"/>
      <c r="R7" s="17"/>
    </row>
    <row r="8" spans="1:19" s="2" customFormat="1" ht="11.25" customHeight="1" x14ac:dyDescent="0.3">
      <c r="A8" s="42"/>
      <c r="B8" s="73"/>
      <c r="C8" s="1"/>
      <c r="D8" s="1"/>
      <c r="F8" s="1"/>
      <c r="G8" s="1"/>
      <c r="I8" s="1"/>
      <c r="J8" s="1"/>
      <c r="K8" s="1"/>
      <c r="L8" s="1"/>
      <c r="M8" s="1"/>
      <c r="O8" s="2" t="s">
        <v>262</v>
      </c>
      <c r="Q8" s="17"/>
      <c r="R8" s="17"/>
    </row>
    <row r="9" spans="1:19" s="74" customFormat="1" ht="71.25" customHeight="1" x14ac:dyDescent="0.25">
      <c r="A9" s="84" t="s">
        <v>19</v>
      </c>
      <c r="B9" s="84" t="s">
        <v>62</v>
      </c>
      <c r="C9" s="151" t="s">
        <v>21</v>
      </c>
      <c r="D9" s="151"/>
      <c r="E9" s="151"/>
      <c r="F9" s="151" t="s">
        <v>263</v>
      </c>
      <c r="G9" s="151"/>
      <c r="H9" s="151"/>
      <c r="I9" s="151" t="s">
        <v>307</v>
      </c>
      <c r="J9" s="151"/>
      <c r="K9" s="151"/>
      <c r="L9" s="151" t="s">
        <v>264</v>
      </c>
      <c r="M9" s="151"/>
      <c r="N9" s="151"/>
      <c r="O9" s="84" t="s">
        <v>22</v>
      </c>
      <c r="P9" s="75"/>
      <c r="Q9" s="57"/>
      <c r="R9" s="57"/>
    </row>
    <row r="10" spans="1:19" s="4" customFormat="1" ht="14.25" customHeight="1" x14ac:dyDescent="0.25">
      <c r="A10" s="3">
        <v>1</v>
      </c>
      <c r="B10" s="76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85"/>
      <c r="Q10" s="58"/>
      <c r="R10" s="58"/>
    </row>
    <row r="11" spans="1:19" s="5" customFormat="1" ht="15" customHeight="1" x14ac:dyDescent="0.3">
      <c r="A11" s="28"/>
      <c r="B11" s="140" t="s">
        <v>200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2"/>
      <c r="P11" s="86"/>
      <c r="Q11" s="17"/>
      <c r="R11" s="17"/>
    </row>
    <row r="12" spans="1:19" s="6" customFormat="1" ht="15.75" customHeight="1" x14ac:dyDescent="0.25">
      <c r="A12" s="28"/>
      <c r="B12" s="43" t="s">
        <v>28</v>
      </c>
      <c r="C12" s="39">
        <f t="shared" ref="C12:N12" si="0">C13+C14+C33+C36</f>
        <v>5416430</v>
      </c>
      <c r="D12" s="39">
        <f t="shared" si="0"/>
        <v>4160950</v>
      </c>
      <c r="E12" s="39">
        <f t="shared" si="0"/>
        <v>0</v>
      </c>
      <c r="F12" s="39">
        <f t="shared" si="0"/>
        <v>550008</v>
      </c>
      <c r="G12" s="39">
        <f t="shared" si="0"/>
        <v>504427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121927</v>
      </c>
      <c r="M12" s="39">
        <f t="shared" si="0"/>
        <v>15000</v>
      </c>
      <c r="N12" s="39">
        <f t="shared" si="0"/>
        <v>0</v>
      </c>
      <c r="O12" s="28">
        <f>C12+F12+I12+L12</f>
        <v>6088365</v>
      </c>
      <c r="P12" s="59"/>
      <c r="Q12" s="59">
        <f>902100+156564+25000+30000+270000</f>
        <v>1383664</v>
      </c>
      <c r="R12" s="59">
        <f>O12+Q12</f>
        <v>7472029</v>
      </c>
      <c r="S12" s="59"/>
    </row>
    <row r="13" spans="1:19" s="5" customFormat="1" ht="15.75" customHeight="1" x14ac:dyDescent="0.3">
      <c r="A13" s="28" t="s">
        <v>50</v>
      </c>
      <c r="B13" s="43" t="s">
        <v>172</v>
      </c>
      <c r="C13" s="39">
        <v>69600</v>
      </c>
      <c r="D13" s="39">
        <v>66550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28">
        <f t="shared" ref="O13:O36" si="1">C13+F13+I13+L13</f>
        <v>69600</v>
      </c>
      <c r="P13" s="59"/>
      <c r="Q13" s="17"/>
      <c r="R13" s="17"/>
    </row>
    <row r="14" spans="1:19" s="5" customFormat="1" ht="16.5" customHeight="1" x14ac:dyDescent="0.3">
      <c r="A14" s="28" t="s">
        <v>49</v>
      </c>
      <c r="B14" s="43" t="s">
        <v>529</v>
      </c>
      <c r="C14" s="39">
        <f t="shared" ref="C14:N14" si="2">SUM(C15:C32)</f>
        <v>4788330</v>
      </c>
      <c r="D14" s="39">
        <f t="shared" si="2"/>
        <v>4094400</v>
      </c>
      <c r="E14" s="39">
        <f t="shared" si="2"/>
        <v>0</v>
      </c>
      <c r="F14" s="39">
        <f t="shared" si="2"/>
        <v>550008</v>
      </c>
      <c r="G14" s="39">
        <f t="shared" si="2"/>
        <v>504427</v>
      </c>
      <c r="H14" s="39">
        <f t="shared" si="2"/>
        <v>0</v>
      </c>
      <c r="I14" s="39">
        <f t="shared" si="2"/>
        <v>0</v>
      </c>
      <c r="J14" s="39">
        <f t="shared" si="2"/>
        <v>0</v>
      </c>
      <c r="K14" s="39">
        <f t="shared" si="2"/>
        <v>0</v>
      </c>
      <c r="L14" s="39">
        <f t="shared" si="2"/>
        <v>121927</v>
      </c>
      <c r="M14" s="39">
        <f t="shared" si="2"/>
        <v>15000</v>
      </c>
      <c r="N14" s="39">
        <f t="shared" si="2"/>
        <v>0</v>
      </c>
      <c r="O14" s="28">
        <f t="shared" si="1"/>
        <v>5460265</v>
      </c>
      <c r="P14" s="59"/>
      <c r="Q14" s="17"/>
      <c r="R14" s="17"/>
    </row>
    <row r="15" spans="1:19" s="2" customFormat="1" ht="15.75" customHeight="1" x14ac:dyDescent="0.3">
      <c r="A15" s="29" t="s">
        <v>43</v>
      </c>
      <c r="B15" s="34" t="s">
        <v>442</v>
      </c>
      <c r="C15" s="28">
        <v>392000</v>
      </c>
      <c r="D15" s="30">
        <v>347000</v>
      </c>
      <c r="E15" s="30"/>
      <c r="F15" s="28"/>
      <c r="G15" s="30"/>
      <c r="H15" s="30"/>
      <c r="I15" s="28"/>
      <c r="J15" s="28"/>
      <c r="K15" s="30"/>
      <c r="L15" s="28"/>
      <c r="M15" s="30"/>
      <c r="N15" s="30"/>
      <c r="O15" s="28">
        <f t="shared" si="1"/>
        <v>392000</v>
      </c>
      <c r="P15" s="59"/>
      <c r="Q15" s="17"/>
      <c r="R15" s="17"/>
    </row>
    <row r="16" spans="1:19" s="2" customFormat="1" ht="15.75" customHeight="1" x14ac:dyDescent="0.3">
      <c r="A16" s="29" t="s">
        <v>44</v>
      </c>
      <c r="B16" s="34" t="s">
        <v>443</v>
      </c>
      <c r="C16" s="28">
        <v>7000</v>
      </c>
      <c r="D16" s="30"/>
      <c r="E16" s="30"/>
      <c r="F16" s="28"/>
      <c r="G16" s="30"/>
      <c r="H16" s="30"/>
      <c r="I16" s="28"/>
      <c r="J16" s="28"/>
      <c r="K16" s="30"/>
      <c r="L16" s="28"/>
      <c r="M16" s="30"/>
      <c r="N16" s="30"/>
      <c r="O16" s="28">
        <f t="shared" si="1"/>
        <v>7000</v>
      </c>
      <c r="P16" s="59"/>
      <c r="Q16" s="17"/>
      <c r="R16" s="17"/>
    </row>
    <row r="17" spans="1:18" s="2" customFormat="1" ht="15.75" customHeight="1" x14ac:dyDescent="0.3">
      <c r="A17" s="29" t="s">
        <v>45</v>
      </c>
      <c r="B17" s="34" t="s">
        <v>444</v>
      </c>
      <c r="C17" s="133">
        <f>2833700+5000+40830</f>
        <v>2879530</v>
      </c>
      <c r="D17" s="30">
        <f>2050000+465000</f>
        <v>2515000</v>
      </c>
      <c r="E17" s="30"/>
      <c r="F17" s="28"/>
      <c r="G17" s="30"/>
      <c r="H17" s="30"/>
      <c r="I17" s="28"/>
      <c r="J17" s="28"/>
      <c r="K17" s="30"/>
      <c r="L17" s="28">
        <f>12000+25000+10000</f>
        <v>47000</v>
      </c>
      <c r="M17" s="30"/>
      <c r="N17" s="30"/>
      <c r="O17" s="28">
        <f t="shared" si="1"/>
        <v>2926530</v>
      </c>
      <c r="P17" s="59"/>
      <c r="Q17" s="17"/>
      <c r="R17" s="17"/>
    </row>
    <row r="18" spans="1:18" s="2" customFormat="1" ht="15.75" customHeight="1" x14ac:dyDescent="0.3">
      <c r="A18" s="29" t="s">
        <v>46</v>
      </c>
      <c r="B18" s="34" t="s">
        <v>445</v>
      </c>
      <c r="C18" s="28"/>
      <c r="D18" s="30"/>
      <c r="E18" s="30"/>
      <c r="F18" s="133">
        <f>520454-2000-600-4600+3000</f>
        <v>516254</v>
      </c>
      <c r="G18" s="30">
        <f>470786-1770</f>
        <v>469016</v>
      </c>
      <c r="H18" s="30"/>
      <c r="I18" s="28"/>
      <c r="J18" s="28"/>
      <c r="K18" s="30"/>
      <c r="L18" s="28"/>
      <c r="M18" s="30"/>
      <c r="N18" s="30"/>
      <c r="O18" s="28">
        <f t="shared" si="1"/>
        <v>516254</v>
      </c>
      <c r="P18" s="59"/>
      <c r="Q18" s="17"/>
      <c r="R18" s="17"/>
    </row>
    <row r="19" spans="1:18" s="2" customFormat="1" ht="15.75" customHeight="1" x14ac:dyDescent="0.3">
      <c r="A19" s="29" t="s">
        <v>47</v>
      </c>
      <c r="B19" s="34" t="s">
        <v>446</v>
      </c>
      <c r="C19" s="28"/>
      <c r="D19" s="30"/>
      <c r="E19" s="30"/>
      <c r="F19" s="133">
        <f>35925+2045-785-400-81-150-5000+2000+200</f>
        <v>33754</v>
      </c>
      <c r="G19" s="30">
        <f>11341+24070</f>
        <v>35411</v>
      </c>
      <c r="H19" s="30"/>
      <c r="I19" s="28"/>
      <c r="J19" s="28"/>
      <c r="K19" s="30"/>
      <c r="L19" s="28"/>
      <c r="M19" s="30"/>
      <c r="N19" s="30"/>
      <c r="O19" s="28">
        <f t="shared" si="1"/>
        <v>33754</v>
      </c>
      <c r="P19" s="59"/>
      <c r="Q19" s="17"/>
      <c r="R19" s="17"/>
    </row>
    <row r="20" spans="1:18" s="2" customFormat="1" ht="15.75" customHeight="1" x14ac:dyDescent="0.3">
      <c r="A20" s="31" t="s">
        <v>48</v>
      </c>
      <c r="B20" s="34" t="s">
        <v>90</v>
      </c>
      <c r="C20" s="28">
        <v>127500</v>
      </c>
      <c r="D20" s="30">
        <v>113000</v>
      </c>
      <c r="E20" s="30"/>
      <c r="F20" s="30"/>
      <c r="G20" s="30"/>
      <c r="H20" s="30"/>
      <c r="I20" s="30"/>
      <c r="J20" s="30"/>
      <c r="K20" s="30"/>
      <c r="L20" s="28">
        <f>2300</f>
        <v>2300</v>
      </c>
      <c r="M20" s="30"/>
      <c r="N20" s="30"/>
      <c r="O20" s="28">
        <f t="shared" si="1"/>
        <v>129800</v>
      </c>
      <c r="P20" s="59"/>
      <c r="Q20" s="17"/>
      <c r="R20" s="17"/>
    </row>
    <row r="21" spans="1:18" s="2" customFormat="1" ht="15.75" customHeight="1" x14ac:dyDescent="0.3">
      <c r="A21" s="31" t="s">
        <v>63</v>
      </c>
      <c r="B21" s="34" t="s">
        <v>96</v>
      </c>
      <c r="C21" s="28">
        <v>129000</v>
      </c>
      <c r="D21" s="30">
        <v>93000</v>
      </c>
      <c r="E21" s="30"/>
      <c r="F21" s="30"/>
      <c r="G21" s="30"/>
      <c r="H21" s="30"/>
      <c r="I21" s="30"/>
      <c r="J21" s="30"/>
      <c r="K21" s="30"/>
      <c r="L21" s="28"/>
      <c r="M21" s="30"/>
      <c r="N21" s="30"/>
      <c r="O21" s="28">
        <f t="shared" si="1"/>
        <v>129000</v>
      </c>
      <c r="P21" s="59"/>
      <c r="Q21" s="17"/>
      <c r="R21" s="17"/>
    </row>
    <row r="22" spans="1:18" s="2" customFormat="1" ht="15.75" customHeight="1" x14ac:dyDescent="0.3">
      <c r="A22" s="31" t="s">
        <v>64</v>
      </c>
      <c r="B22" s="34" t="s">
        <v>97</v>
      </c>
      <c r="C22" s="28">
        <v>72900</v>
      </c>
      <c r="D22" s="30">
        <v>60400</v>
      </c>
      <c r="E22" s="30"/>
      <c r="F22" s="30"/>
      <c r="G22" s="30"/>
      <c r="H22" s="30"/>
      <c r="I22" s="30"/>
      <c r="J22" s="30"/>
      <c r="K22" s="30"/>
      <c r="L22" s="28">
        <f>2230</f>
        <v>2230</v>
      </c>
      <c r="M22" s="30"/>
      <c r="N22" s="30"/>
      <c r="O22" s="28">
        <f t="shared" si="1"/>
        <v>75130</v>
      </c>
      <c r="P22" s="59"/>
      <c r="Q22" s="17"/>
      <c r="R22" s="17"/>
    </row>
    <row r="23" spans="1:18" s="1" customFormat="1" ht="15.75" customHeight="1" x14ac:dyDescent="0.3">
      <c r="A23" s="31" t="s">
        <v>65</v>
      </c>
      <c r="B23" s="34" t="s">
        <v>98</v>
      </c>
      <c r="C23" s="28">
        <v>120700</v>
      </c>
      <c r="D23" s="30">
        <v>108000</v>
      </c>
      <c r="E23" s="30"/>
      <c r="F23" s="30"/>
      <c r="G23" s="30"/>
      <c r="H23" s="30"/>
      <c r="I23" s="30"/>
      <c r="J23" s="30"/>
      <c r="K23" s="30"/>
      <c r="L23" s="28">
        <v>621</v>
      </c>
      <c r="M23" s="30"/>
      <c r="N23" s="30"/>
      <c r="O23" s="28">
        <f t="shared" si="1"/>
        <v>121321</v>
      </c>
      <c r="P23" s="59"/>
      <c r="Q23" s="17"/>
      <c r="R23" s="17"/>
    </row>
    <row r="24" spans="1:18" s="2" customFormat="1" ht="15.75" customHeight="1" x14ac:dyDescent="0.3">
      <c r="A24" s="31" t="s">
        <v>66</v>
      </c>
      <c r="B24" s="34" t="s">
        <v>99</v>
      </c>
      <c r="C24" s="28">
        <f>162700</f>
        <v>162700</v>
      </c>
      <c r="D24" s="30">
        <v>124000</v>
      </c>
      <c r="E24" s="30"/>
      <c r="F24" s="30"/>
      <c r="G24" s="30"/>
      <c r="H24" s="30"/>
      <c r="I24" s="30"/>
      <c r="J24" s="30"/>
      <c r="K24" s="30"/>
      <c r="L24" s="28">
        <f>7000+40000</f>
        <v>47000</v>
      </c>
      <c r="M24" s="30">
        <v>15000</v>
      </c>
      <c r="N24" s="30"/>
      <c r="O24" s="28">
        <f t="shared" si="1"/>
        <v>209700</v>
      </c>
      <c r="P24" s="59"/>
      <c r="Q24" s="17"/>
      <c r="R24" s="17"/>
    </row>
    <row r="25" spans="1:18" s="2" customFormat="1" ht="15.75" customHeight="1" x14ac:dyDescent="0.3">
      <c r="A25" s="31" t="s">
        <v>67</v>
      </c>
      <c r="B25" s="34" t="s">
        <v>100</v>
      </c>
      <c r="C25" s="28">
        <v>121800</v>
      </c>
      <c r="D25" s="30">
        <v>110000</v>
      </c>
      <c r="E25" s="30"/>
      <c r="F25" s="30"/>
      <c r="G25" s="30"/>
      <c r="H25" s="30"/>
      <c r="I25" s="30"/>
      <c r="J25" s="30"/>
      <c r="K25" s="30"/>
      <c r="L25" s="28">
        <f>3750+500</f>
        <v>4250</v>
      </c>
      <c r="M25" s="30"/>
      <c r="N25" s="30"/>
      <c r="O25" s="28">
        <f t="shared" si="1"/>
        <v>126050</v>
      </c>
      <c r="P25" s="59"/>
      <c r="Q25" s="17"/>
      <c r="R25" s="17"/>
    </row>
    <row r="26" spans="1:18" s="2" customFormat="1" ht="15.75" customHeight="1" x14ac:dyDescent="0.3">
      <c r="A26" s="31" t="s">
        <v>87</v>
      </c>
      <c r="B26" s="34" t="s">
        <v>101</v>
      </c>
      <c r="C26" s="28">
        <v>100900</v>
      </c>
      <c r="D26" s="30">
        <v>91000</v>
      </c>
      <c r="E26" s="30"/>
      <c r="F26" s="30"/>
      <c r="G26" s="30"/>
      <c r="H26" s="30"/>
      <c r="I26" s="30"/>
      <c r="J26" s="30"/>
      <c r="K26" s="30"/>
      <c r="L26" s="28">
        <v>3220</v>
      </c>
      <c r="M26" s="30"/>
      <c r="N26" s="30"/>
      <c r="O26" s="28">
        <f t="shared" si="1"/>
        <v>104120</v>
      </c>
      <c r="P26" s="59"/>
      <c r="Q26" s="17"/>
      <c r="R26" s="17"/>
    </row>
    <row r="27" spans="1:18" s="2" customFormat="1" ht="15.75" customHeight="1" x14ac:dyDescent="0.3">
      <c r="A27" s="31" t="s">
        <v>88</v>
      </c>
      <c r="B27" s="34" t="s">
        <v>102</v>
      </c>
      <c r="C27" s="28">
        <v>119800</v>
      </c>
      <c r="D27" s="30">
        <v>110000</v>
      </c>
      <c r="E27" s="30"/>
      <c r="F27" s="30"/>
      <c r="G27" s="30"/>
      <c r="H27" s="30"/>
      <c r="I27" s="30"/>
      <c r="J27" s="30"/>
      <c r="K27" s="30"/>
      <c r="L27" s="28"/>
      <c r="M27" s="30"/>
      <c r="N27" s="30"/>
      <c r="O27" s="28">
        <f t="shared" si="1"/>
        <v>119800</v>
      </c>
      <c r="P27" s="59"/>
      <c r="Q27" s="17"/>
      <c r="R27" s="17"/>
    </row>
    <row r="28" spans="1:18" s="2" customFormat="1" ht="15.75" customHeight="1" x14ac:dyDescent="0.3">
      <c r="A28" s="31" t="s">
        <v>89</v>
      </c>
      <c r="B28" s="34" t="s">
        <v>103</v>
      </c>
      <c r="C28" s="28">
        <v>117100</v>
      </c>
      <c r="D28" s="30">
        <v>105000</v>
      </c>
      <c r="E28" s="30"/>
      <c r="F28" s="30"/>
      <c r="G28" s="30"/>
      <c r="H28" s="30"/>
      <c r="I28" s="30"/>
      <c r="J28" s="30"/>
      <c r="K28" s="30"/>
      <c r="L28" s="28">
        <v>2400</v>
      </c>
      <c r="M28" s="30"/>
      <c r="N28" s="30"/>
      <c r="O28" s="28">
        <f t="shared" si="1"/>
        <v>119500</v>
      </c>
      <c r="P28" s="59"/>
      <c r="Q28" s="17"/>
      <c r="R28" s="17"/>
    </row>
    <row r="29" spans="1:18" s="2" customFormat="1" ht="15.75" customHeight="1" x14ac:dyDescent="0.3">
      <c r="A29" s="31" t="s">
        <v>107</v>
      </c>
      <c r="B29" s="34" t="s">
        <v>104</v>
      </c>
      <c r="C29" s="28">
        <v>134800</v>
      </c>
      <c r="D29" s="30">
        <v>124000</v>
      </c>
      <c r="E29" s="30"/>
      <c r="F29" s="30"/>
      <c r="G29" s="30"/>
      <c r="H29" s="30"/>
      <c r="I29" s="30"/>
      <c r="J29" s="30"/>
      <c r="K29" s="30"/>
      <c r="L29" s="28">
        <f>9340+2230</f>
        <v>11570</v>
      </c>
      <c r="M29" s="30"/>
      <c r="N29" s="30"/>
      <c r="O29" s="28">
        <f t="shared" si="1"/>
        <v>146370</v>
      </c>
      <c r="P29" s="59"/>
      <c r="Q29" s="17"/>
      <c r="R29" s="17"/>
    </row>
    <row r="30" spans="1:18" s="2" customFormat="1" ht="15.75" customHeight="1" x14ac:dyDescent="0.3">
      <c r="A30" s="31" t="s">
        <v>108</v>
      </c>
      <c r="B30" s="34" t="s">
        <v>105</v>
      </c>
      <c r="C30" s="28">
        <f>115500-5000</f>
        <v>110500</v>
      </c>
      <c r="D30" s="30">
        <v>101000</v>
      </c>
      <c r="E30" s="30"/>
      <c r="F30" s="30"/>
      <c r="G30" s="30"/>
      <c r="H30" s="30"/>
      <c r="I30" s="30"/>
      <c r="J30" s="30"/>
      <c r="K30" s="30"/>
      <c r="L30" s="28">
        <f>1136+200</f>
        <v>1336</v>
      </c>
      <c r="M30" s="30"/>
      <c r="N30" s="30"/>
      <c r="O30" s="28">
        <f>C30+F30+I30+L30</f>
        <v>111836</v>
      </c>
      <c r="P30" s="59"/>
      <c r="Q30" s="17"/>
      <c r="R30" s="17"/>
    </row>
    <row r="31" spans="1:18" s="2" customFormat="1" ht="15.75" customHeight="1" x14ac:dyDescent="0.3">
      <c r="A31" s="31" t="s">
        <v>109</v>
      </c>
      <c r="B31" s="61" t="s">
        <v>106</v>
      </c>
      <c r="C31" s="28">
        <v>110600</v>
      </c>
      <c r="D31" s="30">
        <v>93000</v>
      </c>
      <c r="E31" s="30"/>
      <c r="F31" s="30"/>
      <c r="G31" s="30"/>
      <c r="H31" s="30"/>
      <c r="I31" s="30"/>
      <c r="J31" s="30"/>
      <c r="K31" s="30"/>
      <c r="L31" s="28"/>
      <c r="M31" s="30"/>
      <c r="N31" s="30"/>
      <c r="O31" s="28">
        <f t="shared" si="1"/>
        <v>110600</v>
      </c>
      <c r="P31" s="59"/>
      <c r="Q31" s="17"/>
      <c r="R31" s="17"/>
    </row>
    <row r="32" spans="1:18" s="1" customFormat="1" ht="29.25" customHeight="1" x14ac:dyDescent="0.3">
      <c r="A32" s="31" t="s">
        <v>110</v>
      </c>
      <c r="B32" s="34" t="s">
        <v>354</v>
      </c>
      <c r="C32" s="28">
        <f>81500</f>
        <v>81500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28"/>
      <c r="O32" s="28">
        <f t="shared" si="1"/>
        <v>81500</v>
      </c>
      <c r="P32" s="59"/>
      <c r="Q32" s="17"/>
      <c r="R32" s="17"/>
    </row>
    <row r="33" spans="1:18" s="9" customFormat="1" ht="15" customHeight="1" x14ac:dyDescent="0.25">
      <c r="A33" s="28" t="s">
        <v>51</v>
      </c>
      <c r="B33" s="43" t="s">
        <v>24</v>
      </c>
      <c r="C33" s="28">
        <f>SUM(C34:C35)</f>
        <v>274400</v>
      </c>
      <c r="D33" s="28">
        <f t="shared" ref="D33:N33" si="3">SUM(D34:D35)</f>
        <v>0</v>
      </c>
      <c r="E33" s="28">
        <f t="shared" si="3"/>
        <v>0</v>
      </c>
      <c r="F33" s="28">
        <f t="shared" si="3"/>
        <v>0</v>
      </c>
      <c r="G33" s="28">
        <f t="shared" si="3"/>
        <v>0</v>
      </c>
      <c r="H33" s="28">
        <f t="shared" si="3"/>
        <v>0</v>
      </c>
      <c r="I33" s="28">
        <f t="shared" si="3"/>
        <v>0</v>
      </c>
      <c r="J33" s="28">
        <f t="shared" si="3"/>
        <v>0</v>
      </c>
      <c r="K33" s="28">
        <f t="shared" si="3"/>
        <v>0</v>
      </c>
      <c r="L33" s="28">
        <f t="shared" si="3"/>
        <v>0</v>
      </c>
      <c r="M33" s="28">
        <f t="shared" si="3"/>
        <v>0</v>
      </c>
      <c r="N33" s="28">
        <f t="shared" si="3"/>
        <v>0</v>
      </c>
      <c r="O33" s="28">
        <f t="shared" si="1"/>
        <v>274400</v>
      </c>
      <c r="P33" s="59"/>
      <c r="Q33" s="59"/>
      <c r="R33" s="59"/>
    </row>
    <row r="34" spans="1:18" s="7" customFormat="1" ht="15.75" customHeight="1" x14ac:dyDescent="0.25">
      <c r="A34" s="45" t="s">
        <v>68</v>
      </c>
      <c r="B34" s="46" t="s">
        <v>355</v>
      </c>
      <c r="C34" s="30">
        <f>200000-5600</f>
        <v>194400</v>
      </c>
      <c r="D34" s="32"/>
      <c r="E34" s="30"/>
      <c r="F34" s="32"/>
      <c r="G34" s="32"/>
      <c r="H34" s="32"/>
      <c r="I34" s="32"/>
      <c r="J34" s="32"/>
      <c r="K34" s="32"/>
      <c r="L34" s="32"/>
      <c r="M34" s="32"/>
      <c r="N34" s="32"/>
      <c r="O34" s="28">
        <f t="shared" si="1"/>
        <v>194400</v>
      </c>
      <c r="P34" s="59"/>
      <c r="Q34" s="59"/>
      <c r="R34" s="59"/>
    </row>
    <row r="35" spans="1:18" s="7" customFormat="1" ht="44.25" customHeight="1" x14ac:dyDescent="0.25">
      <c r="A35" s="45" t="s">
        <v>234</v>
      </c>
      <c r="B35" s="46" t="s">
        <v>447</v>
      </c>
      <c r="C35" s="30">
        <v>80000</v>
      </c>
      <c r="D35" s="32"/>
      <c r="E35" s="30"/>
      <c r="F35" s="32"/>
      <c r="G35" s="32"/>
      <c r="H35" s="32"/>
      <c r="I35" s="32"/>
      <c r="J35" s="32"/>
      <c r="K35" s="32"/>
      <c r="L35" s="32"/>
      <c r="M35" s="32"/>
      <c r="N35" s="32"/>
      <c r="O35" s="28">
        <f t="shared" si="1"/>
        <v>80000</v>
      </c>
      <c r="P35" s="59"/>
      <c r="Q35" s="59"/>
      <c r="R35" s="59"/>
    </row>
    <row r="36" spans="1:18" s="9" customFormat="1" ht="15.75" customHeight="1" x14ac:dyDescent="0.25">
      <c r="A36" s="28" t="s">
        <v>52</v>
      </c>
      <c r="B36" s="43" t="s">
        <v>35</v>
      </c>
      <c r="C36" s="28">
        <f t="shared" ref="C36:I36" si="4">SUM(C37:C39)</f>
        <v>284100</v>
      </c>
      <c r="D36" s="28">
        <f t="shared" si="4"/>
        <v>0</v>
      </c>
      <c r="E36" s="28">
        <f t="shared" si="4"/>
        <v>0</v>
      </c>
      <c r="F36" s="28">
        <f t="shared" si="4"/>
        <v>0</v>
      </c>
      <c r="G36" s="28">
        <f t="shared" si="4"/>
        <v>0</v>
      </c>
      <c r="H36" s="28">
        <f t="shared" si="4"/>
        <v>0</v>
      </c>
      <c r="I36" s="28">
        <f t="shared" si="4"/>
        <v>0</v>
      </c>
      <c r="J36" s="28"/>
      <c r="K36" s="28">
        <f>SUM(K37:K39)</f>
        <v>0</v>
      </c>
      <c r="L36" s="28">
        <f>SUM(L37:L39)</f>
        <v>0</v>
      </c>
      <c r="M36" s="28">
        <f>SUM(M37:M39)</f>
        <v>0</v>
      </c>
      <c r="N36" s="28">
        <f>SUM(N37:N39)</f>
        <v>0</v>
      </c>
      <c r="O36" s="28">
        <f t="shared" si="1"/>
        <v>284100</v>
      </c>
      <c r="P36" s="59"/>
      <c r="Q36" s="59"/>
      <c r="R36" s="59"/>
    </row>
    <row r="37" spans="1:18" s="7" customFormat="1" ht="15.75" customHeight="1" x14ac:dyDescent="0.25">
      <c r="A37" s="45" t="s">
        <v>39</v>
      </c>
      <c r="B37" s="46" t="s">
        <v>393</v>
      </c>
      <c r="C37" s="30">
        <f>68500+5600</f>
        <v>74100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8">
        <f>C37+F37+I37+L37</f>
        <v>74100</v>
      </c>
      <c r="P37" s="59"/>
      <c r="Q37" s="59"/>
      <c r="R37" s="59"/>
    </row>
    <row r="38" spans="1:18" s="7" customFormat="1" ht="45" customHeight="1" x14ac:dyDescent="0.25">
      <c r="A38" s="45" t="s">
        <v>40</v>
      </c>
      <c r="B38" s="46" t="s">
        <v>394</v>
      </c>
      <c r="C38" s="30">
        <v>210000</v>
      </c>
      <c r="D38" s="32"/>
      <c r="E38" s="30"/>
      <c r="F38" s="32"/>
      <c r="G38" s="32"/>
      <c r="H38" s="32"/>
      <c r="I38" s="32"/>
      <c r="J38" s="32"/>
      <c r="K38" s="32"/>
      <c r="L38" s="32"/>
      <c r="M38" s="32"/>
      <c r="N38" s="32"/>
      <c r="O38" s="28">
        <f>C38+F38+I38+L38</f>
        <v>210000</v>
      </c>
      <c r="P38" s="59"/>
      <c r="Q38" s="59"/>
      <c r="R38" s="59"/>
    </row>
    <row r="39" spans="1:18" s="7" customFormat="1" ht="28.5" hidden="1" customHeight="1" x14ac:dyDescent="0.25">
      <c r="A39" s="45" t="s">
        <v>356</v>
      </c>
      <c r="B39" s="46" t="s">
        <v>395</v>
      </c>
      <c r="C39" s="30"/>
      <c r="D39" s="32"/>
      <c r="E39" s="30"/>
      <c r="F39" s="30"/>
      <c r="G39" s="32"/>
      <c r="H39" s="32"/>
      <c r="I39" s="32"/>
      <c r="J39" s="32"/>
      <c r="K39" s="32"/>
      <c r="L39" s="32"/>
      <c r="M39" s="32"/>
      <c r="N39" s="32"/>
      <c r="O39" s="28">
        <f>C39+F39+I39+L39</f>
        <v>0</v>
      </c>
      <c r="P39" s="59"/>
      <c r="Q39" s="59"/>
      <c r="R39" s="59"/>
    </row>
    <row r="40" spans="1:18" s="1" customFormat="1" ht="16.5" customHeight="1" x14ac:dyDescent="0.3">
      <c r="A40" s="47"/>
      <c r="B40" s="140" t="s">
        <v>201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2"/>
      <c r="P40" s="86"/>
      <c r="Q40" s="17"/>
      <c r="R40" s="17"/>
    </row>
    <row r="41" spans="1:18" s="7" customFormat="1" ht="15.75" customHeight="1" x14ac:dyDescent="0.25">
      <c r="A41" s="30"/>
      <c r="B41" s="43" t="s">
        <v>28</v>
      </c>
      <c r="C41" s="39">
        <f>C42</f>
        <v>55000</v>
      </c>
      <c r="D41" s="39">
        <f t="shared" ref="D41:N41" si="5">D42</f>
        <v>0</v>
      </c>
      <c r="E41" s="39">
        <f t="shared" si="5"/>
        <v>0</v>
      </c>
      <c r="F41" s="39">
        <f t="shared" si="5"/>
        <v>1233400</v>
      </c>
      <c r="G41" s="39">
        <f t="shared" si="5"/>
        <v>0</v>
      </c>
      <c r="H41" s="39">
        <f t="shared" si="5"/>
        <v>0</v>
      </c>
      <c r="I41" s="39">
        <f t="shared" si="5"/>
        <v>0</v>
      </c>
      <c r="J41" s="39"/>
      <c r="K41" s="39">
        <f t="shared" si="5"/>
        <v>0</v>
      </c>
      <c r="L41" s="39">
        <f t="shared" si="5"/>
        <v>0</v>
      </c>
      <c r="M41" s="39">
        <f t="shared" si="5"/>
        <v>0</v>
      </c>
      <c r="N41" s="39">
        <f t="shared" si="5"/>
        <v>0</v>
      </c>
      <c r="O41" s="28">
        <f t="shared" ref="O41:O46" si="6">C41+F41+I41+L41</f>
        <v>1288400</v>
      </c>
      <c r="P41" s="59"/>
      <c r="Q41" s="59">
        <v>75000</v>
      </c>
      <c r="R41" s="59">
        <f>O41+Q41</f>
        <v>1363400</v>
      </c>
    </row>
    <row r="42" spans="1:18" s="7" customFormat="1" ht="15.75" customHeight="1" x14ac:dyDescent="0.25">
      <c r="A42" s="28" t="s">
        <v>53</v>
      </c>
      <c r="B42" s="43" t="s">
        <v>35</v>
      </c>
      <c r="C42" s="39">
        <f>SUM(C44,C45)</f>
        <v>55000</v>
      </c>
      <c r="D42" s="39">
        <f>SUM(D45)</f>
        <v>0</v>
      </c>
      <c r="E42" s="39">
        <f>SUM(E45)</f>
        <v>0</v>
      </c>
      <c r="F42" s="39">
        <f>SUM(F43,F46)</f>
        <v>1233400</v>
      </c>
      <c r="G42" s="39">
        <f t="shared" ref="G42:N42" si="7">SUM(G43)</f>
        <v>0</v>
      </c>
      <c r="H42" s="39">
        <f t="shared" si="7"/>
        <v>0</v>
      </c>
      <c r="I42" s="39">
        <f t="shared" si="7"/>
        <v>0</v>
      </c>
      <c r="J42" s="39"/>
      <c r="K42" s="39">
        <f t="shared" si="7"/>
        <v>0</v>
      </c>
      <c r="L42" s="39">
        <f t="shared" si="7"/>
        <v>0</v>
      </c>
      <c r="M42" s="39">
        <f t="shared" si="7"/>
        <v>0</v>
      </c>
      <c r="N42" s="39">
        <f t="shared" si="7"/>
        <v>0</v>
      </c>
      <c r="O42" s="28">
        <f t="shared" si="6"/>
        <v>1288400</v>
      </c>
      <c r="P42" s="59"/>
      <c r="Q42" s="59"/>
      <c r="R42" s="59"/>
    </row>
    <row r="43" spans="1:18" s="11" customFormat="1" ht="15.75" customHeight="1" x14ac:dyDescent="0.25">
      <c r="A43" s="45" t="s">
        <v>41</v>
      </c>
      <c r="B43" s="46" t="s">
        <v>151</v>
      </c>
      <c r="C43" s="46"/>
      <c r="D43" s="46"/>
      <c r="E43" s="46"/>
      <c r="F43" s="38">
        <v>259000</v>
      </c>
      <c r="G43" s="38"/>
      <c r="H43" s="38"/>
      <c r="I43" s="46"/>
      <c r="J43" s="46"/>
      <c r="K43" s="46"/>
      <c r="L43" s="46"/>
      <c r="M43" s="46"/>
      <c r="N43" s="46"/>
      <c r="O43" s="28">
        <f t="shared" si="6"/>
        <v>259000</v>
      </c>
      <c r="P43" s="59"/>
      <c r="Q43" s="59"/>
      <c r="R43" s="59"/>
    </row>
    <row r="44" spans="1:18" s="11" customFormat="1" ht="15.75" customHeight="1" x14ac:dyDescent="0.25">
      <c r="A44" s="45" t="s">
        <v>42</v>
      </c>
      <c r="B44" s="46" t="s">
        <v>186</v>
      </c>
      <c r="C44" s="38">
        <v>15000</v>
      </c>
      <c r="D44" s="46"/>
      <c r="E44" s="46"/>
      <c r="F44" s="38"/>
      <c r="G44" s="38"/>
      <c r="H44" s="38"/>
      <c r="I44" s="46"/>
      <c r="J44" s="46"/>
      <c r="K44" s="46"/>
      <c r="L44" s="46"/>
      <c r="M44" s="46"/>
      <c r="N44" s="46"/>
      <c r="O44" s="28">
        <f t="shared" si="6"/>
        <v>15000</v>
      </c>
      <c r="P44" s="59"/>
      <c r="Q44" s="59"/>
      <c r="R44" s="59"/>
    </row>
    <row r="45" spans="1:18" s="2" customFormat="1" ht="15.75" customHeight="1" x14ac:dyDescent="0.3">
      <c r="A45" s="87" t="s">
        <v>173</v>
      </c>
      <c r="B45" s="33" t="s">
        <v>192</v>
      </c>
      <c r="C45" s="30">
        <v>40000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8">
        <f t="shared" si="6"/>
        <v>40000</v>
      </c>
      <c r="P45" s="59"/>
      <c r="Q45" s="17"/>
      <c r="R45" s="17"/>
    </row>
    <row r="46" spans="1:18" s="2" customFormat="1" ht="28.5" customHeight="1" x14ac:dyDescent="0.3">
      <c r="A46" s="45" t="s">
        <v>260</v>
      </c>
      <c r="B46" s="34" t="s">
        <v>396</v>
      </c>
      <c r="C46" s="30"/>
      <c r="D46" s="30"/>
      <c r="E46" s="30"/>
      <c r="F46" s="30">
        <v>974400</v>
      </c>
      <c r="G46" s="30"/>
      <c r="H46" s="30"/>
      <c r="I46" s="30"/>
      <c r="J46" s="30"/>
      <c r="K46" s="30"/>
      <c r="L46" s="30"/>
      <c r="M46" s="30"/>
      <c r="N46" s="30"/>
      <c r="O46" s="28">
        <f t="shared" si="6"/>
        <v>974400</v>
      </c>
      <c r="P46" s="59"/>
      <c r="Q46" s="17"/>
      <c r="R46" s="17"/>
    </row>
    <row r="47" spans="1:18" s="2" customFormat="1" ht="32.25" customHeight="1" x14ac:dyDescent="0.3">
      <c r="A47" s="48"/>
      <c r="B47" s="140" t="s">
        <v>202</v>
      </c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2"/>
      <c r="P47" s="86"/>
      <c r="Q47" s="17"/>
      <c r="R47" s="17"/>
    </row>
    <row r="48" spans="1:18" s="7" customFormat="1" ht="15.75" customHeight="1" x14ac:dyDescent="0.25">
      <c r="A48" s="30"/>
      <c r="B48" s="43" t="s">
        <v>28</v>
      </c>
      <c r="C48" s="39">
        <f t="shared" ref="C48:N48" si="8">C49+C53</f>
        <v>109200</v>
      </c>
      <c r="D48" s="39">
        <f t="shared" si="8"/>
        <v>65000</v>
      </c>
      <c r="E48" s="39">
        <f t="shared" si="8"/>
        <v>0</v>
      </c>
      <c r="F48" s="39">
        <f t="shared" si="8"/>
        <v>0</v>
      </c>
      <c r="G48" s="39">
        <f t="shared" si="8"/>
        <v>0</v>
      </c>
      <c r="H48" s="39">
        <f t="shared" si="8"/>
        <v>0</v>
      </c>
      <c r="I48" s="39">
        <f t="shared" si="8"/>
        <v>0</v>
      </c>
      <c r="J48" s="39">
        <f t="shared" si="8"/>
        <v>0</v>
      </c>
      <c r="K48" s="39">
        <f t="shared" si="8"/>
        <v>0</v>
      </c>
      <c r="L48" s="39">
        <f t="shared" si="8"/>
        <v>8610</v>
      </c>
      <c r="M48" s="39">
        <f t="shared" si="8"/>
        <v>8460</v>
      </c>
      <c r="N48" s="39">
        <f t="shared" si="8"/>
        <v>0</v>
      </c>
      <c r="O48" s="39">
        <f>C48+L48</f>
        <v>117810</v>
      </c>
      <c r="P48" s="88"/>
      <c r="Q48" s="59"/>
      <c r="R48" s="59">
        <f>O48+Q48</f>
        <v>117810</v>
      </c>
    </row>
    <row r="49" spans="1:22" s="2" customFormat="1" ht="15.75" customHeight="1" x14ac:dyDescent="0.3">
      <c r="A49" s="28" t="s">
        <v>54</v>
      </c>
      <c r="B49" s="43" t="s">
        <v>35</v>
      </c>
      <c r="C49" s="28">
        <f t="shared" ref="C49:N49" si="9">SUM(C50:C52)</f>
        <v>109200</v>
      </c>
      <c r="D49" s="28">
        <f t="shared" si="9"/>
        <v>65000</v>
      </c>
      <c r="E49" s="28">
        <f t="shared" si="9"/>
        <v>0</v>
      </c>
      <c r="F49" s="28">
        <f t="shared" si="9"/>
        <v>0</v>
      </c>
      <c r="G49" s="28">
        <f t="shared" si="9"/>
        <v>0</v>
      </c>
      <c r="H49" s="28">
        <f t="shared" si="9"/>
        <v>0</v>
      </c>
      <c r="I49" s="28">
        <f t="shared" si="9"/>
        <v>0</v>
      </c>
      <c r="J49" s="28">
        <f t="shared" si="9"/>
        <v>0</v>
      </c>
      <c r="K49" s="28">
        <f t="shared" si="9"/>
        <v>0</v>
      </c>
      <c r="L49" s="28">
        <f t="shared" si="9"/>
        <v>0</v>
      </c>
      <c r="M49" s="28">
        <f t="shared" si="9"/>
        <v>0</v>
      </c>
      <c r="N49" s="28">
        <f t="shared" si="9"/>
        <v>0</v>
      </c>
      <c r="O49" s="28">
        <f t="shared" ref="O49:O54" si="10">C49+F49+I49+L49</f>
        <v>109200</v>
      </c>
      <c r="P49" s="59"/>
      <c r="Q49" s="17"/>
      <c r="R49" s="17"/>
    </row>
    <row r="50" spans="1:22" s="2" customFormat="1" ht="15.75" customHeight="1" x14ac:dyDescent="0.3">
      <c r="A50" s="45" t="s">
        <v>69</v>
      </c>
      <c r="B50" s="49" t="s">
        <v>158</v>
      </c>
      <c r="C50" s="30">
        <v>85200</v>
      </c>
      <c r="D50" s="30">
        <v>65000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8">
        <f t="shared" si="10"/>
        <v>85200</v>
      </c>
      <c r="P50" s="59"/>
      <c r="Q50" s="17"/>
      <c r="R50" s="17"/>
    </row>
    <row r="51" spans="1:22" s="2" customFormat="1" ht="15.75" customHeight="1" x14ac:dyDescent="0.3">
      <c r="A51" s="29" t="s">
        <v>187</v>
      </c>
      <c r="B51" s="49" t="s">
        <v>174</v>
      </c>
      <c r="C51" s="30">
        <v>15000</v>
      </c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28">
        <f t="shared" si="10"/>
        <v>15000</v>
      </c>
      <c r="P51" s="59"/>
      <c r="Q51" s="17"/>
      <c r="R51" s="17"/>
    </row>
    <row r="52" spans="1:22" s="2" customFormat="1" ht="15.75" customHeight="1" x14ac:dyDescent="0.3">
      <c r="A52" s="65" t="s">
        <v>193</v>
      </c>
      <c r="B52" s="34" t="s">
        <v>194</v>
      </c>
      <c r="C52" s="30">
        <v>9000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6">
        <f t="shared" si="10"/>
        <v>9000</v>
      </c>
      <c r="P52" s="59"/>
      <c r="Q52" s="17"/>
      <c r="R52" s="17"/>
    </row>
    <row r="53" spans="1:22" s="2" customFormat="1" ht="29.25" customHeight="1" x14ac:dyDescent="0.3">
      <c r="A53" s="28" t="s">
        <v>55</v>
      </c>
      <c r="B53" s="43" t="s">
        <v>205</v>
      </c>
      <c r="C53" s="28">
        <f>SUM(C54)</f>
        <v>0</v>
      </c>
      <c r="D53" s="28">
        <f t="shared" ref="D53:O53" si="11">SUM(D54)</f>
        <v>0</v>
      </c>
      <c r="E53" s="28">
        <f t="shared" si="11"/>
        <v>0</v>
      </c>
      <c r="F53" s="28">
        <f t="shared" si="11"/>
        <v>0</v>
      </c>
      <c r="G53" s="28">
        <f t="shared" si="11"/>
        <v>0</v>
      </c>
      <c r="H53" s="28">
        <f t="shared" si="11"/>
        <v>0</v>
      </c>
      <c r="I53" s="28">
        <f t="shared" si="11"/>
        <v>0</v>
      </c>
      <c r="J53" s="28">
        <f t="shared" si="11"/>
        <v>0</v>
      </c>
      <c r="K53" s="28">
        <f t="shared" si="11"/>
        <v>0</v>
      </c>
      <c r="L53" s="28">
        <f t="shared" si="11"/>
        <v>8610</v>
      </c>
      <c r="M53" s="28">
        <f t="shared" si="11"/>
        <v>8460</v>
      </c>
      <c r="N53" s="28">
        <f t="shared" si="11"/>
        <v>0</v>
      </c>
      <c r="O53" s="28">
        <f t="shared" si="11"/>
        <v>8610</v>
      </c>
      <c r="P53" s="59"/>
      <c r="Q53" s="17"/>
      <c r="R53" s="17"/>
      <c r="U53" s="56"/>
      <c r="V53" s="56"/>
    </row>
    <row r="54" spans="1:22" s="2" customFormat="1" ht="15.75" customHeight="1" x14ac:dyDescent="0.3">
      <c r="A54" s="45" t="s">
        <v>70</v>
      </c>
      <c r="B54" s="49" t="s">
        <v>397</v>
      </c>
      <c r="C54" s="30"/>
      <c r="D54" s="30"/>
      <c r="E54" s="30"/>
      <c r="F54" s="30"/>
      <c r="G54" s="30"/>
      <c r="H54" s="30"/>
      <c r="I54" s="30"/>
      <c r="J54" s="30"/>
      <c r="K54" s="30"/>
      <c r="L54" s="30">
        <v>8610</v>
      </c>
      <c r="M54" s="30">
        <v>8460</v>
      </c>
      <c r="N54" s="30"/>
      <c r="O54" s="28">
        <f t="shared" si="10"/>
        <v>8610</v>
      </c>
      <c r="P54" s="59"/>
      <c r="Q54" s="17"/>
      <c r="R54" s="17"/>
      <c r="U54" s="56"/>
      <c r="V54" s="56"/>
    </row>
    <row r="55" spans="1:22" s="1" customFormat="1" ht="29.25" customHeight="1" x14ac:dyDescent="0.3">
      <c r="A55" s="47"/>
      <c r="B55" s="148" t="s">
        <v>265</v>
      </c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50"/>
      <c r="P55" s="89"/>
      <c r="Q55" s="17"/>
      <c r="R55" s="17"/>
    </row>
    <row r="56" spans="1:22" s="7" customFormat="1" ht="15.75" customHeight="1" x14ac:dyDescent="0.25">
      <c r="A56" s="30"/>
      <c r="B56" s="43" t="s">
        <v>28</v>
      </c>
      <c r="C56" s="39">
        <f t="shared" ref="C56:N56" si="12">C57+C86</f>
        <v>2652000</v>
      </c>
      <c r="D56" s="39">
        <f t="shared" si="12"/>
        <v>28345</v>
      </c>
      <c r="E56" s="39">
        <f t="shared" si="12"/>
        <v>0</v>
      </c>
      <c r="F56" s="39">
        <f t="shared" si="12"/>
        <v>824200</v>
      </c>
      <c r="G56" s="39">
        <f t="shared" si="12"/>
        <v>733435</v>
      </c>
      <c r="H56" s="39">
        <f t="shared" si="12"/>
        <v>0</v>
      </c>
      <c r="I56" s="39">
        <f t="shared" si="12"/>
        <v>1816900</v>
      </c>
      <c r="J56" s="39">
        <f t="shared" si="12"/>
        <v>0</v>
      </c>
      <c r="K56" s="39">
        <f t="shared" si="12"/>
        <v>0</v>
      </c>
      <c r="L56" s="39">
        <f t="shared" si="12"/>
        <v>0</v>
      </c>
      <c r="M56" s="39">
        <f t="shared" si="12"/>
        <v>0</v>
      </c>
      <c r="N56" s="39">
        <f t="shared" si="12"/>
        <v>0</v>
      </c>
      <c r="O56" s="28">
        <f>C56+F56+I56+L56</f>
        <v>5293100</v>
      </c>
      <c r="P56" s="59"/>
      <c r="Q56" s="59">
        <f>135000+320000</f>
        <v>455000</v>
      </c>
      <c r="R56" s="59">
        <f>O56+Q56</f>
        <v>5748100</v>
      </c>
    </row>
    <row r="57" spans="1:22" s="7" customFormat="1" ht="15.75" customHeight="1" x14ac:dyDescent="0.25">
      <c r="A57" s="28" t="s">
        <v>56</v>
      </c>
      <c r="B57" s="43" t="s">
        <v>35</v>
      </c>
      <c r="C57" s="39">
        <f>SUM(C58:C72,C85)</f>
        <v>2579000</v>
      </c>
      <c r="D57" s="39">
        <f t="shared" ref="D57:L57" si="13">SUM(D58:D72,D85)</f>
        <v>0</v>
      </c>
      <c r="E57" s="39">
        <f t="shared" si="13"/>
        <v>0</v>
      </c>
      <c r="F57" s="39">
        <f t="shared" si="13"/>
        <v>0</v>
      </c>
      <c r="G57" s="39">
        <f t="shared" si="13"/>
        <v>0</v>
      </c>
      <c r="H57" s="39">
        <f t="shared" si="13"/>
        <v>0</v>
      </c>
      <c r="I57" s="39">
        <f t="shared" si="13"/>
        <v>1816900</v>
      </c>
      <c r="J57" s="39">
        <f t="shared" si="13"/>
        <v>0</v>
      </c>
      <c r="K57" s="39">
        <f t="shared" si="13"/>
        <v>0</v>
      </c>
      <c r="L57" s="39">
        <f t="shared" si="13"/>
        <v>0</v>
      </c>
      <c r="M57" s="39">
        <f>SUM(M58:M72)</f>
        <v>0</v>
      </c>
      <c r="N57" s="39">
        <f>SUM(N58:N72)</f>
        <v>0</v>
      </c>
      <c r="O57" s="28">
        <f t="shared" ref="O57:O83" si="14">C57+F57+I57+L57</f>
        <v>4395900</v>
      </c>
      <c r="P57" s="59"/>
      <c r="Q57" s="59"/>
      <c r="R57" s="59"/>
    </row>
    <row r="58" spans="1:22" s="2" customFormat="1" ht="45" customHeight="1" x14ac:dyDescent="0.3">
      <c r="A58" s="45" t="s">
        <v>71</v>
      </c>
      <c r="B58" s="34" t="s">
        <v>175</v>
      </c>
      <c r="C58" s="30">
        <v>200000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8">
        <f t="shared" si="14"/>
        <v>200000</v>
      </c>
      <c r="P58" s="59"/>
      <c r="Q58" s="17"/>
      <c r="R58" s="17"/>
    </row>
    <row r="59" spans="1:22" s="11" customFormat="1" ht="15.75" customHeight="1" x14ac:dyDescent="0.25">
      <c r="A59" s="45" t="s">
        <v>72</v>
      </c>
      <c r="B59" s="46" t="s">
        <v>398</v>
      </c>
      <c r="C59" s="38">
        <f>75000</f>
        <v>75000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8">
        <f t="shared" si="14"/>
        <v>75000</v>
      </c>
      <c r="P59" s="59"/>
      <c r="Q59" s="59"/>
      <c r="R59" s="59"/>
    </row>
    <row r="60" spans="1:22" s="2" customFormat="1" ht="30" customHeight="1" x14ac:dyDescent="0.3">
      <c r="A60" s="45" t="s">
        <v>73</v>
      </c>
      <c r="B60" s="46" t="s">
        <v>448</v>
      </c>
      <c r="C60" s="30">
        <f>53900</f>
        <v>53900</v>
      </c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28">
        <f t="shared" si="14"/>
        <v>53900</v>
      </c>
      <c r="P60" s="59"/>
      <c r="Q60" s="17"/>
      <c r="R60" s="17"/>
    </row>
    <row r="61" spans="1:22" s="7" customFormat="1" ht="30" customHeight="1" x14ac:dyDescent="0.25">
      <c r="A61" s="45" t="s">
        <v>111</v>
      </c>
      <c r="B61" s="46" t="s">
        <v>266</v>
      </c>
      <c r="C61" s="37">
        <v>19000</v>
      </c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28">
        <f t="shared" si="14"/>
        <v>19000</v>
      </c>
      <c r="P61" s="59"/>
      <c r="Q61" s="59"/>
      <c r="R61" s="59"/>
    </row>
    <row r="62" spans="1:22" s="7" customFormat="1" ht="13.8" x14ac:dyDescent="0.25">
      <c r="A62" s="45" t="s">
        <v>112</v>
      </c>
      <c r="B62" s="46" t="s">
        <v>586</v>
      </c>
      <c r="C62" s="134">
        <f>480000+142000</f>
        <v>622000</v>
      </c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28">
        <f t="shared" si="14"/>
        <v>622000</v>
      </c>
      <c r="P62" s="59"/>
      <c r="Q62" s="59"/>
      <c r="R62" s="59"/>
    </row>
    <row r="63" spans="1:22" s="2" customFormat="1" ht="15.75" customHeight="1" x14ac:dyDescent="0.3">
      <c r="A63" s="45" t="s">
        <v>113</v>
      </c>
      <c r="B63" s="34" t="s">
        <v>189</v>
      </c>
      <c r="C63" s="30">
        <v>9000</v>
      </c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28">
        <f t="shared" si="14"/>
        <v>9000</v>
      </c>
      <c r="P63" s="59"/>
      <c r="Q63" s="17"/>
      <c r="R63" s="17"/>
    </row>
    <row r="64" spans="1:22" s="2" customFormat="1" ht="30.75" customHeight="1" x14ac:dyDescent="0.3">
      <c r="A64" s="45" t="s">
        <v>114</v>
      </c>
      <c r="B64" s="46" t="s">
        <v>449</v>
      </c>
      <c r="C64" s="30">
        <v>100000</v>
      </c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8">
        <f t="shared" si="14"/>
        <v>100000</v>
      </c>
      <c r="P64" s="59"/>
      <c r="Q64" s="17"/>
      <c r="R64" s="17"/>
    </row>
    <row r="65" spans="1:22" s="7" customFormat="1" ht="15.75" customHeight="1" x14ac:dyDescent="0.25">
      <c r="A65" s="45" t="s">
        <v>115</v>
      </c>
      <c r="B65" s="46" t="s">
        <v>29</v>
      </c>
      <c r="C65" s="30">
        <v>10000</v>
      </c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28">
        <f t="shared" si="14"/>
        <v>10000</v>
      </c>
      <c r="P65" s="59"/>
      <c r="Q65" s="59"/>
      <c r="R65" s="59"/>
    </row>
    <row r="66" spans="1:22" s="11" customFormat="1" ht="29.25" customHeight="1" x14ac:dyDescent="0.25">
      <c r="A66" s="45" t="s">
        <v>116</v>
      </c>
      <c r="B66" s="46" t="s">
        <v>176</v>
      </c>
      <c r="C66" s="130">
        <f>290000+35000</f>
        <v>325000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8">
        <f t="shared" si="14"/>
        <v>325000</v>
      </c>
      <c r="P66" s="59"/>
      <c r="Q66" s="59"/>
      <c r="R66" s="59"/>
    </row>
    <row r="67" spans="1:22" s="11" customFormat="1" ht="30" customHeight="1" x14ac:dyDescent="0.25">
      <c r="A67" s="45" t="s">
        <v>117</v>
      </c>
      <c r="B67" s="46" t="s">
        <v>350</v>
      </c>
      <c r="C67" s="130">
        <f>40000+10000</f>
        <v>50000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8">
        <f t="shared" si="14"/>
        <v>50000</v>
      </c>
      <c r="P67" s="59"/>
      <c r="Q67" s="59"/>
      <c r="R67" s="59"/>
    </row>
    <row r="68" spans="1:22" s="2" customFormat="1" ht="15.75" customHeight="1" x14ac:dyDescent="0.3">
      <c r="A68" s="45" t="s">
        <v>118</v>
      </c>
      <c r="B68" s="34" t="s">
        <v>450</v>
      </c>
      <c r="C68" s="30">
        <f>24900-1200</f>
        <v>23700</v>
      </c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28">
        <f t="shared" si="14"/>
        <v>23700</v>
      </c>
      <c r="P68" s="59"/>
      <c r="Q68" s="17"/>
      <c r="R68" s="17"/>
    </row>
    <row r="69" spans="1:22" s="2" customFormat="1" ht="15.75" customHeight="1" x14ac:dyDescent="0.3">
      <c r="A69" s="45" t="s">
        <v>160</v>
      </c>
      <c r="B69" s="34" t="s">
        <v>399</v>
      </c>
      <c r="C69" s="134">
        <f>18000+1200+12600</f>
        <v>31800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28">
        <f t="shared" si="14"/>
        <v>31800</v>
      </c>
      <c r="P69" s="59"/>
      <c r="Q69" s="17"/>
      <c r="R69" s="17"/>
    </row>
    <row r="70" spans="1:22" s="2" customFormat="1" ht="15.75" customHeight="1" x14ac:dyDescent="0.3">
      <c r="A70" s="45" t="s">
        <v>400</v>
      </c>
      <c r="B70" s="34" t="s">
        <v>390</v>
      </c>
      <c r="C70" s="30">
        <v>14000</v>
      </c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28">
        <f>C70+F70+I70+L70</f>
        <v>14000</v>
      </c>
      <c r="P70" s="59"/>
      <c r="Q70" s="17"/>
      <c r="R70" s="17"/>
    </row>
    <row r="71" spans="1:22" s="2" customFormat="1" ht="16.5" customHeight="1" x14ac:dyDescent="0.3">
      <c r="A71" s="45" t="s">
        <v>401</v>
      </c>
      <c r="B71" s="61" t="s">
        <v>451</v>
      </c>
      <c r="C71" s="30">
        <v>15000</v>
      </c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28">
        <f>C71+F71+I71+L71</f>
        <v>15000</v>
      </c>
      <c r="P71" s="59"/>
      <c r="R71" s="56"/>
      <c r="U71" s="56"/>
      <c r="V71" s="56"/>
    </row>
    <row r="72" spans="1:22" s="1" customFormat="1" ht="29.25" customHeight="1" x14ac:dyDescent="0.3">
      <c r="A72" s="30"/>
      <c r="B72" s="34" t="s">
        <v>177</v>
      </c>
      <c r="C72" s="30">
        <f t="shared" ref="C72:O72" si="15">SUM(C73:C84)</f>
        <v>1030600</v>
      </c>
      <c r="D72" s="28">
        <f t="shared" si="15"/>
        <v>0</v>
      </c>
      <c r="E72" s="30">
        <f t="shared" si="15"/>
        <v>0</v>
      </c>
      <c r="F72" s="28">
        <f t="shared" si="15"/>
        <v>0</v>
      </c>
      <c r="G72" s="28">
        <f t="shared" si="15"/>
        <v>0</v>
      </c>
      <c r="H72" s="28">
        <f t="shared" si="15"/>
        <v>0</v>
      </c>
      <c r="I72" s="28">
        <f t="shared" si="15"/>
        <v>0</v>
      </c>
      <c r="J72" s="28">
        <f t="shared" si="15"/>
        <v>0</v>
      </c>
      <c r="K72" s="28">
        <f t="shared" si="15"/>
        <v>0</v>
      </c>
      <c r="L72" s="28">
        <f t="shared" si="15"/>
        <v>0</v>
      </c>
      <c r="M72" s="28">
        <f t="shared" si="15"/>
        <v>0</v>
      </c>
      <c r="N72" s="28">
        <f t="shared" si="15"/>
        <v>0</v>
      </c>
      <c r="O72" s="28">
        <f t="shared" si="15"/>
        <v>1030600</v>
      </c>
      <c r="P72" s="59"/>
      <c r="Q72" s="17"/>
      <c r="R72" s="17"/>
    </row>
    <row r="73" spans="1:22" s="2" customFormat="1" ht="15.75" customHeight="1" x14ac:dyDescent="0.3">
      <c r="A73" s="45" t="s">
        <v>402</v>
      </c>
      <c r="B73" s="34" t="s">
        <v>10</v>
      </c>
      <c r="C73" s="30">
        <v>24800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28">
        <f t="shared" si="14"/>
        <v>24800</v>
      </c>
      <c r="P73" s="59"/>
      <c r="Q73" s="17"/>
      <c r="R73" s="17"/>
    </row>
    <row r="74" spans="1:22" s="2" customFormat="1" ht="15.75" customHeight="1" x14ac:dyDescent="0.3">
      <c r="A74" s="45" t="s">
        <v>403</v>
      </c>
      <c r="B74" s="34" t="s">
        <v>9</v>
      </c>
      <c r="C74" s="30">
        <v>14600</v>
      </c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28">
        <f t="shared" si="14"/>
        <v>14600</v>
      </c>
      <c r="P74" s="59"/>
      <c r="Q74" s="17"/>
      <c r="R74" s="17"/>
    </row>
    <row r="75" spans="1:22" s="1" customFormat="1" ht="15.75" customHeight="1" x14ac:dyDescent="0.3">
      <c r="A75" s="45" t="s">
        <v>404</v>
      </c>
      <c r="B75" s="34" t="s">
        <v>8</v>
      </c>
      <c r="C75" s="30">
        <v>8300</v>
      </c>
      <c r="D75" s="28">
        <f t="shared" ref="D75:N75" si="16">SUM(D76)</f>
        <v>0</v>
      </c>
      <c r="E75" s="28">
        <f t="shared" si="16"/>
        <v>0</v>
      </c>
      <c r="F75" s="28">
        <f t="shared" si="16"/>
        <v>0</v>
      </c>
      <c r="G75" s="28">
        <f t="shared" si="16"/>
        <v>0</v>
      </c>
      <c r="H75" s="28">
        <f t="shared" si="16"/>
        <v>0</v>
      </c>
      <c r="I75" s="28">
        <f t="shared" si="16"/>
        <v>0</v>
      </c>
      <c r="J75" s="28"/>
      <c r="K75" s="28">
        <f t="shared" si="16"/>
        <v>0</v>
      </c>
      <c r="L75" s="28">
        <f t="shared" si="16"/>
        <v>0</v>
      </c>
      <c r="M75" s="28">
        <f t="shared" si="16"/>
        <v>0</v>
      </c>
      <c r="N75" s="28">
        <f t="shared" si="16"/>
        <v>0</v>
      </c>
      <c r="O75" s="28">
        <f t="shared" si="14"/>
        <v>8300</v>
      </c>
      <c r="P75" s="59"/>
      <c r="Q75" s="17"/>
      <c r="R75" s="17"/>
    </row>
    <row r="76" spans="1:22" s="2" customFormat="1" ht="15.75" customHeight="1" x14ac:dyDescent="0.3">
      <c r="A76" s="45" t="s">
        <v>405</v>
      </c>
      <c r="B76" s="34" t="s">
        <v>7</v>
      </c>
      <c r="C76" s="30">
        <v>23600</v>
      </c>
      <c r="D76" s="30"/>
      <c r="E76" s="30"/>
      <c r="F76" s="28"/>
      <c r="G76" s="30"/>
      <c r="H76" s="30"/>
      <c r="I76" s="28"/>
      <c r="J76" s="28"/>
      <c r="K76" s="30"/>
      <c r="L76" s="28"/>
      <c r="M76" s="30"/>
      <c r="N76" s="30"/>
      <c r="O76" s="28">
        <f t="shared" si="14"/>
        <v>23600</v>
      </c>
      <c r="P76" s="59"/>
      <c r="Q76" s="17"/>
      <c r="R76" s="17"/>
    </row>
    <row r="77" spans="1:22" s="2" customFormat="1" ht="15.75" customHeight="1" x14ac:dyDescent="0.3">
      <c r="A77" s="45" t="s">
        <v>406</v>
      </c>
      <c r="B77" s="34" t="s">
        <v>6</v>
      </c>
      <c r="C77" s="30">
        <v>21500</v>
      </c>
      <c r="D77" s="30"/>
      <c r="E77" s="30"/>
      <c r="F77" s="28"/>
      <c r="G77" s="30"/>
      <c r="H77" s="30"/>
      <c r="I77" s="28"/>
      <c r="J77" s="28"/>
      <c r="K77" s="30"/>
      <c r="L77" s="28"/>
      <c r="M77" s="30"/>
      <c r="N77" s="30"/>
      <c r="O77" s="28">
        <f t="shared" si="14"/>
        <v>21500</v>
      </c>
      <c r="P77" s="59"/>
      <c r="Q77" s="17"/>
      <c r="R77" s="17"/>
    </row>
    <row r="78" spans="1:22" s="2" customFormat="1" ht="15.75" customHeight="1" x14ac:dyDescent="0.3">
      <c r="A78" s="45" t="s">
        <v>407</v>
      </c>
      <c r="B78" s="34" t="s">
        <v>5</v>
      </c>
      <c r="C78" s="134">
        <f>22500+5000</f>
        <v>27500</v>
      </c>
      <c r="D78" s="30"/>
      <c r="E78" s="30"/>
      <c r="F78" s="28"/>
      <c r="G78" s="30"/>
      <c r="H78" s="30"/>
      <c r="I78" s="28"/>
      <c r="J78" s="28"/>
      <c r="K78" s="30"/>
      <c r="L78" s="28"/>
      <c r="M78" s="30"/>
      <c r="N78" s="30"/>
      <c r="O78" s="28">
        <f t="shared" si="14"/>
        <v>27500</v>
      </c>
      <c r="P78" s="59"/>
      <c r="Q78" s="17"/>
      <c r="R78" s="17"/>
    </row>
    <row r="79" spans="1:22" s="2" customFormat="1" ht="15.75" customHeight="1" x14ac:dyDescent="0.3">
      <c r="A79" s="45" t="s">
        <v>408</v>
      </c>
      <c r="B79" s="34" t="s">
        <v>4</v>
      </c>
      <c r="C79" s="30">
        <v>20900</v>
      </c>
      <c r="D79" s="30"/>
      <c r="E79" s="30"/>
      <c r="F79" s="28"/>
      <c r="G79" s="30"/>
      <c r="H79" s="30"/>
      <c r="I79" s="28"/>
      <c r="J79" s="28"/>
      <c r="K79" s="30"/>
      <c r="L79" s="28"/>
      <c r="M79" s="30"/>
      <c r="N79" s="30"/>
      <c r="O79" s="28">
        <f t="shared" si="14"/>
        <v>20900</v>
      </c>
      <c r="P79" s="59"/>
      <c r="Q79" s="17"/>
      <c r="R79" s="17"/>
    </row>
    <row r="80" spans="1:22" s="2" customFormat="1" ht="15.75" customHeight="1" x14ac:dyDescent="0.3">
      <c r="A80" s="45" t="s">
        <v>409</v>
      </c>
      <c r="B80" s="34" t="s">
        <v>3</v>
      </c>
      <c r="C80" s="30">
        <v>12800</v>
      </c>
      <c r="D80" s="30"/>
      <c r="E80" s="30"/>
      <c r="F80" s="28"/>
      <c r="G80" s="30"/>
      <c r="H80" s="30"/>
      <c r="I80" s="28"/>
      <c r="J80" s="28"/>
      <c r="K80" s="30"/>
      <c r="L80" s="28"/>
      <c r="M80" s="30"/>
      <c r="N80" s="30"/>
      <c r="O80" s="28">
        <f t="shared" si="14"/>
        <v>12800</v>
      </c>
      <c r="P80" s="59"/>
      <c r="Q80" s="17"/>
      <c r="R80" s="17"/>
    </row>
    <row r="81" spans="1:22" s="2" customFormat="1" ht="15.75" customHeight="1" x14ac:dyDescent="0.3">
      <c r="A81" s="50" t="s">
        <v>410</v>
      </c>
      <c r="B81" s="34" t="s">
        <v>2</v>
      </c>
      <c r="C81" s="30">
        <v>21500</v>
      </c>
      <c r="D81" s="30"/>
      <c r="E81" s="30"/>
      <c r="F81" s="28"/>
      <c r="G81" s="30"/>
      <c r="H81" s="30"/>
      <c r="I81" s="28"/>
      <c r="J81" s="28"/>
      <c r="K81" s="30"/>
      <c r="L81" s="28"/>
      <c r="M81" s="30"/>
      <c r="N81" s="30"/>
      <c r="O81" s="28">
        <f t="shared" si="14"/>
        <v>21500</v>
      </c>
      <c r="P81" s="59"/>
      <c r="Q81" s="17"/>
      <c r="R81" s="17"/>
    </row>
    <row r="82" spans="1:22" s="2" customFormat="1" ht="15.75" customHeight="1" x14ac:dyDescent="0.3">
      <c r="A82" s="50" t="s">
        <v>411</v>
      </c>
      <c r="B82" s="34" t="s">
        <v>1</v>
      </c>
      <c r="C82" s="30">
        <v>22300</v>
      </c>
      <c r="D82" s="30"/>
      <c r="E82" s="30"/>
      <c r="F82" s="28"/>
      <c r="G82" s="30"/>
      <c r="H82" s="30"/>
      <c r="I82" s="28"/>
      <c r="J82" s="28"/>
      <c r="K82" s="30"/>
      <c r="L82" s="28"/>
      <c r="M82" s="30"/>
      <c r="N82" s="30"/>
      <c r="O82" s="28">
        <f t="shared" si="14"/>
        <v>22300</v>
      </c>
      <c r="P82" s="59"/>
      <c r="Q82" s="17"/>
      <c r="R82" s="17"/>
    </row>
    <row r="83" spans="1:22" s="2" customFormat="1" ht="15.75" customHeight="1" x14ac:dyDescent="0.3">
      <c r="A83" s="45" t="s">
        <v>412</v>
      </c>
      <c r="B83" s="34" t="s">
        <v>0</v>
      </c>
      <c r="C83" s="30">
        <v>16800</v>
      </c>
      <c r="D83" s="30"/>
      <c r="E83" s="30"/>
      <c r="F83" s="28"/>
      <c r="G83" s="30"/>
      <c r="H83" s="30"/>
      <c r="I83" s="28"/>
      <c r="J83" s="28"/>
      <c r="K83" s="30"/>
      <c r="L83" s="28"/>
      <c r="M83" s="30"/>
      <c r="N83" s="30"/>
      <c r="O83" s="28">
        <f t="shared" si="14"/>
        <v>16800</v>
      </c>
      <c r="P83" s="59"/>
      <c r="Q83" s="17"/>
      <c r="R83" s="17"/>
    </row>
    <row r="84" spans="1:22" s="7" customFormat="1" ht="15.75" customHeight="1" x14ac:dyDescent="0.25">
      <c r="A84" s="45" t="s">
        <v>413</v>
      </c>
      <c r="B84" s="46" t="s">
        <v>271</v>
      </c>
      <c r="C84" s="134">
        <f>700000+116000</f>
        <v>816000</v>
      </c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28">
        <f>C84+F84+I84+L84</f>
        <v>816000</v>
      </c>
      <c r="P84" s="59"/>
      <c r="Q84" s="59"/>
      <c r="R84" s="59"/>
    </row>
    <row r="85" spans="1:22" s="2" customFormat="1" ht="30" customHeight="1" x14ac:dyDescent="0.3">
      <c r="A85" s="45" t="s">
        <v>414</v>
      </c>
      <c r="B85" s="61" t="s">
        <v>357</v>
      </c>
      <c r="C85" s="30"/>
      <c r="D85" s="30"/>
      <c r="E85" s="30"/>
      <c r="F85" s="30"/>
      <c r="G85" s="30"/>
      <c r="H85" s="30"/>
      <c r="I85" s="30">
        <v>1816900</v>
      </c>
      <c r="J85" s="30"/>
      <c r="K85" s="30"/>
      <c r="L85" s="30"/>
      <c r="M85" s="30"/>
      <c r="N85" s="30"/>
      <c r="O85" s="28">
        <f>C85+F85+I85+L85</f>
        <v>1816900</v>
      </c>
      <c r="P85" s="59"/>
      <c r="R85" s="56"/>
      <c r="U85" s="56"/>
      <c r="V85" s="56"/>
    </row>
    <row r="86" spans="1:22" s="2" customFormat="1" ht="15.75" customHeight="1" x14ac:dyDescent="0.3">
      <c r="A86" s="28" t="s">
        <v>57</v>
      </c>
      <c r="B86" s="51" t="s">
        <v>119</v>
      </c>
      <c r="C86" s="28">
        <v>73000</v>
      </c>
      <c r="D86" s="28">
        <v>28345</v>
      </c>
      <c r="E86" s="28"/>
      <c r="F86" s="28">
        <v>824200</v>
      </c>
      <c r="G86" s="28">
        <v>733435</v>
      </c>
      <c r="H86" s="28"/>
      <c r="I86" s="28"/>
      <c r="J86" s="28"/>
      <c r="K86" s="28"/>
      <c r="L86" s="28"/>
      <c r="M86" s="28"/>
      <c r="N86" s="28"/>
      <c r="O86" s="28">
        <f>C86+F86+I86+L86</f>
        <v>897200</v>
      </c>
      <c r="P86" s="59"/>
      <c r="Q86" s="17"/>
      <c r="R86" s="17"/>
    </row>
    <row r="87" spans="1:22" s="1" customFormat="1" ht="31.5" customHeight="1" x14ac:dyDescent="0.3">
      <c r="A87" s="47"/>
      <c r="B87" s="143" t="s">
        <v>585</v>
      </c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86"/>
      <c r="Q87" s="17"/>
      <c r="R87" s="17"/>
    </row>
    <row r="88" spans="1:22" s="7" customFormat="1" ht="15.75" customHeight="1" x14ac:dyDescent="0.25">
      <c r="A88" s="30"/>
      <c r="B88" s="43" t="s">
        <v>28</v>
      </c>
      <c r="C88" s="39">
        <f>C89+C96+C106+C109</f>
        <v>378712</v>
      </c>
      <c r="D88" s="39">
        <f t="shared" ref="D88:N88" si="17">D89+D96+D106+D109</f>
        <v>0</v>
      </c>
      <c r="E88" s="39">
        <f t="shared" si="17"/>
        <v>0</v>
      </c>
      <c r="F88" s="39">
        <f>F89+F96+F106+F109+F91</f>
        <v>469850</v>
      </c>
      <c r="G88" s="39">
        <f t="shared" si="17"/>
        <v>200680</v>
      </c>
      <c r="H88" s="39">
        <f t="shared" si="17"/>
        <v>0</v>
      </c>
      <c r="I88" s="39">
        <f t="shared" si="17"/>
        <v>0</v>
      </c>
      <c r="J88" s="39">
        <f t="shared" si="17"/>
        <v>0</v>
      </c>
      <c r="K88" s="39">
        <f t="shared" si="17"/>
        <v>0</v>
      </c>
      <c r="L88" s="39">
        <f t="shared" si="17"/>
        <v>1528164</v>
      </c>
      <c r="M88" s="39">
        <f t="shared" si="17"/>
        <v>0</v>
      </c>
      <c r="N88" s="39">
        <f t="shared" si="17"/>
        <v>0</v>
      </c>
      <c r="O88" s="39">
        <f>C88+F88+I88+L88</f>
        <v>2376726</v>
      </c>
      <c r="P88" s="88"/>
      <c r="Q88" s="59"/>
      <c r="R88" s="59">
        <f>O88+Q88</f>
        <v>2376726</v>
      </c>
    </row>
    <row r="89" spans="1:22" s="7" customFormat="1" ht="30" customHeight="1" x14ac:dyDescent="0.25">
      <c r="A89" s="28" t="s">
        <v>58</v>
      </c>
      <c r="B89" s="43" t="s">
        <v>208</v>
      </c>
      <c r="C89" s="39">
        <f>SUM(C90,C93,C92,C95)</f>
        <v>0</v>
      </c>
      <c r="D89" s="39">
        <f t="shared" ref="D89:K89" si="18">SUM(D90,D93,D92,D95)</f>
        <v>0</v>
      </c>
      <c r="E89" s="39">
        <f t="shared" si="18"/>
        <v>0</v>
      </c>
      <c r="F89" s="39">
        <f t="shared" si="18"/>
        <v>0</v>
      </c>
      <c r="G89" s="39">
        <f t="shared" si="18"/>
        <v>0</v>
      </c>
      <c r="H89" s="39">
        <f t="shared" si="18"/>
        <v>0</v>
      </c>
      <c r="I89" s="39">
        <f t="shared" si="18"/>
        <v>0</v>
      </c>
      <c r="J89" s="39"/>
      <c r="K89" s="39">
        <f t="shared" si="18"/>
        <v>0</v>
      </c>
      <c r="L89" s="39">
        <f>SUM(L90:L95)</f>
        <v>289396</v>
      </c>
      <c r="M89" s="39">
        <f>SUM(M90:M95)</f>
        <v>0</v>
      </c>
      <c r="N89" s="39">
        <f>SUM(N90:N95)</f>
        <v>0</v>
      </c>
      <c r="O89" s="28">
        <f t="shared" ref="O89:O110" si="19">C89+F89+I89+L89</f>
        <v>289396</v>
      </c>
      <c r="P89" s="59"/>
      <c r="Q89" s="59"/>
      <c r="R89" s="59"/>
    </row>
    <row r="90" spans="1:22" s="11" customFormat="1" ht="15.75" customHeight="1" x14ac:dyDescent="0.25">
      <c r="A90" s="45" t="s">
        <v>74</v>
      </c>
      <c r="B90" s="46" t="s">
        <v>179</v>
      </c>
      <c r="C90" s="38"/>
      <c r="D90" s="38"/>
      <c r="E90" s="38"/>
      <c r="F90" s="38"/>
      <c r="G90" s="38"/>
      <c r="H90" s="38"/>
      <c r="I90" s="38"/>
      <c r="J90" s="38"/>
      <c r="K90" s="38"/>
      <c r="L90" s="38">
        <v>25000</v>
      </c>
      <c r="M90" s="38"/>
      <c r="N90" s="38"/>
      <c r="O90" s="28">
        <f t="shared" si="19"/>
        <v>25000</v>
      </c>
      <c r="P90" s="59"/>
      <c r="Q90" s="59"/>
      <c r="R90" s="59"/>
    </row>
    <row r="91" spans="1:22" s="11" customFormat="1" ht="29.25" customHeight="1" x14ac:dyDescent="0.25">
      <c r="A91" s="52" t="s">
        <v>75</v>
      </c>
      <c r="B91" s="46" t="s">
        <v>452</v>
      </c>
      <c r="C91" s="77"/>
      <c r="D91" s="77"/>
      <c r="E91" s="77"/>
      <c r="F91" s="77">
        <f>10825+4775</f>
        <v>15600</v>
      </c>
      <c r="G91" s="77"/>
      <c r="H91" s="77"/>
      <c r="I91" s="77"/>
      <c r="J91" s="77"/>
      <c r="K91" s="77"/>
      <c r="L91" s="135">
        <f>63790+35334-2900-1500</f>
        <v>94724</v>
      </c>
      <c r="M91" s="77"/>
      <c r="N91" s="77"/>
      <c r="O91" s="28">
        <f t="shared" si="19"/>
        <v>110324</v>
      </c>
      <c r="P91" s="59"/>
      <c r="Q91" s="59"/>
      <c r="R91" s="59"/>
    </row>
    <row r="92" spans="1:22" s="8" customFormat="1" ht="15.75" customHeight="1" x14ac:dyDescent="0.25">
      <c r="A92" s="52" t="s">
        <v>76</v>
      </c>
      <c r="B92" s="53" t="s">
        <v>180</v>
      </c>
      <c r="C92" s="35"/>
      <c r="D92" s="35"/>
      <c r="E92" s="35"/>
      <c r="F92" s="35"/>
      <c r="G92" s="35"/>
      <c r="H92" s="35"/>
      <c r="I92" s="35"/>
      <c r="J92" s="35"/>
      <c r="K92" s="35"/>
      <c r="L92" s="35">
        <f>1000</f>
        <v>1000</v>
      </c>
      <c r="M92" s="35"/>
      <c r="N92" s="35"/>
      <c r="O92" s="28">
        <f t="shared" si="19"/>
        <v>1000</v>
      </c>
      <c r="P92" s="59"/>
      <c r="Q92" s="58"/>
      <c r="R92" s="58"/>
    </row>
    <row r="93" spans="1:22" s="11" customFormat="1" ht="30" customHeight="1" x14ac:dyDescent="0.25">
      <c r="A93" s="45" t="s">
        <v>120</v>
      </c>
      <c r="B93" s="46" t="s">
        <v>453</v>
      </c>
      <c r="C93" s="38"/>
      <c r="D93" s="38"/>
      <c r="E93" s="38"/>
      <c r="F93" s="38"/>
      <c r="G93" s="38"/>
      <c r="H93" s="38"/>
      <c r="I93" s="38"/>
      <c r="J93" s="38"/>
      <c r="K93" s="38"/>
      <c r="L93" s="38">
        <f>55000+75272</f>
        <v>130272</v>
      </c>
      <c r="M93" s="38"/>
      <c r="N93" s="38"/>
      <c r="O93" s="28">
        <f t="shared" si="19"/>
        <v>130272</v>
      </c>
      <c r="P93" s="59"/>
      <c r="Q93" s="59"/>
      <c r="R93" s="59"/>
    </row>
    <row r="94" spans="1:22" s="11" customFormat="1" ht="30" customHeight="1" x14ac:dyDescent="0.25">
      <c r="A94" s="45" t="s">
        <v>178</v>
      </c>
      <c r="B94" s="46" t="s">
        <v>416</v>
      </c>
      <c r="C94" s="38"/>
      <c r="D94" s="38"/>
      <c r="E94" s="38"/>
      <c r="F94" s="38"/>
      <c r="G94" s="38"/>
      <c r="H94" s="38"/>
      <c r="I94" s="38"/>
      <c r="J94" s="38"/>
      <c r="K94" s="38"/>
      <c r="L94" s="130">
        <f>10000+2900+1500</f>
        <v>14400</v>
      </c>
      <c r="M94" s="38"/>
      <c r="N94" s="38"/>
      <c r="O94" s="28">
        <f t="shared" si="19"/>
        <v>14400</v>
      </c>
      <c r="P94" s="59"/>
      <c r="Q94" s="59"/>
      <c r="R94" s="59"/>
    </row>
    <row r="95" spans="1:22" s="8" customFormat="1" ht="15.75" customHeight="1" x14ac:dyDescent="0.25">
      <c r="A95" s="45" t="s">
        <v>415</v>
      </c>
      <c r="B95" s="46" t="s">
        <v>30</v>
      </c>
      <c r="C95" s="30"/>
      <c r="D95" s="30"/>
      <c r="E95" s="30"/>
      <c r="F95" s="30"/>
      <c r="G95" s="30"/>
      <c r="H95" s="30"/>
      <c r="I95" s="30"/>
      <c r="J95" s="30"/>
      <c r="K95" s="30"/>
      <c r="L95" s="30">
        <f>20210+3790</f>
        <v>24000</v>
      </c>
      <c r="M95" s="30"/>
      <c r="N95" s="30"/>
      <c r="O95" s="28">
        <f t="shared" si="19"/>
        <v>24000</v>
      </c>
      <c r="P95" s="59"/>
      <c r="Q95" s="58"/>
      <c r="R95" s="58"/>
    </row>
    <row r="96" spans="1:22" s="9" customFormat="1" ht="15.75" customHeight="1" x14ac:dyDescent="0.25">
      <c r="A96" s="28" t="s">
        <v>59</v>
      </c>
      <c r="B96" s="43" t="s">
        <v>35</v>
      </c>
      <c r="C96" s="28">
        <f>SUM(C97:C105)</f>
        <v>370312</v>
      </c>
      <c r="D96" s="28">
        <f t="shared" ref="D96:N96" si="20">SUM(D97:D105)</f>
        <v>0</v>
      </c>
      <c r="E96" s="28">
        <f t="shared" si="20"/>
        <v>0</v>
      </c>
      <c r="F96" s="28">
        <f>SUM(F97:F105)</f>
        <v>165000</v>
      </c>
      <c r="G96" s="28">
        <f t="shared" si="20"/>
        <v>1770</v>
      </c>
      <c r="H96" s="28">
        <f t="shared" si="20"/>
        <v>0</v>
      </c>
      <c r="I96" s="28">
        <f>SUM(I97:I105)</f>
        <v>0</v>
      </c>
      <c r="J96" s="28">
        <f t="shared" si="20"/>
        <v>0</v>
      </c>
      <c r="K96" s="28">
        <f t="shared" si="20"/>
        <v>0</v>
      </c>
      <c r="L96" s="28">
        <f>SUM(L97:L105)</f>
        <v>1220000</v>
      </c>
      <c r="M96" s="28">
        <f t="shared" si="20"/>
        <v>0</v>
      </c>
      <c r="N96" s="28">
        <f t="shared" si="20"/>
        <v>0</v>
      </c>
      <c r="O96" s="28">
        <f>C96+F96+I96+L96</f>
        <v>1755312</v>
      </c>
      <c r="P96" s="59"/>
      <c r="Q96" s="59"/>
      <c r="R96" s="59"/>
    </row>
    <row r="97" spans="1:22" s="11" customFormat="1" ht="30.75" customHeight="1" x14ac:dyDescent="0.25">
      <c r="A97" s="29" t="s">
        <v>154</v>
      </c>
      <c r="B97" s="46" t="s">
        <v>454</v>
      </c>
      <c r="C97" s="130">
        <f>140000+24442</f>
        <v>164442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8">
        <f t="shared" si="19"/>
        <v>164442</v>
      </c>
      <c r="P97" s="59"/>
      <c r="Q97" s="59"/>
      <c r="R97" s="59"/>
    </row>
    <row r="98" spans="1:22" s="7" customFormat="1" ht="29.25" customHeight="1" x14ac:dyDescent="0.25">
      <c r="A98" s="45" t="s">
        <v>77</v>
      </c>
      <c r="B98" s="46" t="s">
        <v>455</v>
      </c>
      <c r="C98" s="38">
        <v>100000</v>
      </c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8">
        <f>C98+F98+I98+L98</f>
        <v>100000</v>
      </c>
      <c r="P98" s="59"/>
      <c r="R98" s="42"/>
      <c r="U98" s="42"/>
      <c r="V98" s="42"/>
    </row>
    <row r="99" spans="1:22" s="7" customFormat="1" ht="27.75" customHeight="1" x14ac:dyDescent="0.25">
      <c r="A99" s="29" t="s">
        <v>78</v>
      </c>
      <c r="B99" s="46" t="s">
        <v>351</v>
      </c>
      <c r="C99" s="38">
        <v>10000</v>
      </c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8">
        <f>C99+F99+I99+L99</f>
        <v>10000</v>
      </c>
      <c r="P99" s="59"/>
      <c r="R99" s="42"/>
      <c r="U99" s="42"/>
      <c r="V99" s="42"/>
    </row>
    <row r="100" spans="1:22" s="7" customFormat="1" ht="16.5" customHeight="1" x14ac:dyDescent="0.25">
      <c r="A100" s="29" t="s">
        <v>166</v>
      </c>
      <c r="B100" s="34" t="s">
        <v>456</v>
      </c>
      <c r="C100" s="38">
        <v>90000</v>
      </c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8">
        <f>C100+F100+I100+L100</f>
        <v>90000</v>
      </c>
      <c r="P100" s="59"/>
      <c r="R100" s="42"/>
      <c r="U100" s="42"/>
      <c r="V100" s="42"/>
    </row>
    <row r="101" spans="1:22" s="7" customFormat="1" ht="16.5" customHeight="1" x14ac:dyDescent="0.25">
      <c r="A101" s="29" t="s">
        <v>272</v>
      </c>
      <c r="B101" s="46" t="s">
        <v>457</v>
      </c>
      <c r="C101" s="130">
        <f>30000-29130</f>
        <v>870</v>
      </c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8">
        <f>C101+F101+I101+L101</f>
        <v>870</v>
      </c>
      <c r="P101" s="59"/>
      <c r="R101" s="42"/>
      <c r="U101" s="42"/>
      <c r="V101" s="42"/>
    </row>
    <row r="102" spans="1:22" s="7" customFormat="1" ht="15.75" customHeight="1" x14ac:dyDescent="0.25">
      <c r="A102" s="29" t="s">
        <v>273</v>
      </c>
      <c r="B102" s="46" t="s">
        <v>195</v>
      </c>
      <c r="C102" s="38"/>
      <c r="D102" s="39"/>
      <c r="E102" s="39"/>
      <c r="F102" s="38">
        <v>2000</v>
      </c>
      <c r="G102" s="38">
        <v>1770</v>
      </c>
      <c r="H102" s="38"/>
      <c r="I102" s="38"/>
      <c r="J102" s="39"/>
      <c r="K102" s="38"/>
      <c r="L102" s="39"/>
      <c r="M102" s="39"/>
      <c r="N102" s="39"/>
      <c r="O102" s="28">
        <f t="shared" si="19"/>
        <v>2000</v>
      </c>
      <c r="P102" s="59"/>
      <c r="Q102" s="59"/>
      <c r="R102" s="59"/>
    </row>
    <row r="103" spans="1:22" s="11" customFormat="1" ht="16.5" customHeight="1" x14ac:dyDescent="0.25">
      <c r="A103" s="29" t="s">
        <v>348</v>
      </c>
      <c r="B103" s="46" t="s">
        <v>417</v>
      </c>
      <c r="C103" s="38">
        <v>5000</v>
      </c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8">
        <f>C103+F103+I103+L103</f>
        <v>5000</v>
      </c>
      <c r="P103" s="59"/>
      <c r="Q103" s="59"/>
      <c r="R103" s="59"/>
    </row>
    <row r="104" spans="1:22" s="11" customFormat="1" ht="15.75" customHeight="1" x14ac:dyDescent="0.25">
      <c r="A104" s="29" t="s">
        <v>418</v>
      </c>
      <c r="B104" s="46" t="s">
        <v>155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>
        <f>794976+425024</f>
        <v>1220000</v>
      </c>
      <c r="M104" s="38"/>
      <c r="N104" s="38"/>
      <c r="O104" s="28">
        <f>C104+F104+I104+L104</f>
        <v>1220000</v>
      </c>
      <c r="P104" s="59"/>
      <c r="Q104" s="59"/>
      <c r="R104" s="59"/>
    </row>
    <row r="105" spans="1:22" s="11" customFormat="1" ht="13.8" x14ac:dyDescent="0.25">
      <c r="A105" s="29" t="s">
        <v>527</v>
      </c>
      <c r="B105" s="46" t="s">
        <v>528</v>
      </c>
      <c r="C105" s="38"/>
      <c r="D105" s="38"/>
      <c r="E105" s="38"/>
      <c r="F105" s="38">
        <v>163000</v>
      </c>
      <c r="G105" s="38"/>
      <c r="H105" s="38"/>
      <c r="I105" s="38"/>
      <c r="J105" s="38"/>
      <c r="K105" s="38"/>
      <c r="L105" s="38"/>
      <c r="M105" s="38"/>
      <c r="N105" s="38" t="s">
        <v>347</v>
      </c>
      <c r="O105" s="28">
        <f>C105+F105+I105+L105</f>
        <v>163000</v>
      </c>
      <c r="P105" s="59"/>
      <c r="Q105" s="59"/>
      <c r="R105" s="59"/>
    </row>
    <row r="106" spans="1:22" s="4" customFormat="1" ht="28.5" customHeight="1" x14ac:dyDescent="0.25">
      <c r="A106" s="28" t="s">
        <v>60</v>
      </c>
      <c r="B106" s="43" t="s">
        <v>205</v>
      </c>
      <c r="C106" s="30">
        <f t="shared" ref="C106:N106" si="21">SUM(C107:C108)</f>
        <v>0</v>
      </c>
      <c r="D106" s="30">
        <f t="shared" si="21"/>
        <v>0</v>
      </c>
      <c r="E106" s="30">
        <f t="shared" si="21"/>
        <v>0</v>
      </c>
      <c r="F106" s="30">
        <f t="shared" si="21"/>
        <v>0</v>
      </c>
      <c r="G106" s="30">
        <f t="shared" si="21"/>
        <v>0</v>
      </c>
      <c r="H106" s="30">
        <f t="shared" si="21"/>
        <v>0</v>
      </c>
      <c r="I106" s="30">
        <f t="shared" si="21"/>
        <v>0</v>
      </c>
      <c r="J106" s="30">
        <f t="shared" si="21"/>
        <v>0</v>
      </c>
      <c r="K106" s="30">
        <f t="shared" si="21"/>
        <v>0</v>
      </c>
      <c r="L106" s="28">
        <f t="shared" si="21"/>
        <v>13268</v>
      </c>
      <c r="M106" s="30">
        <f t="shared" si="21"/>
        <v>0</v>
      </c>
      <c r="N106" s="30">
        <f t="shared" si="21"/>
        <v>0</v>
      </c>
      <c r="O106" s="28">
        <f t="shared" si="19"/>
        <v>13268</v>
      </c>
      <c r="P106" s="59"/>
      <c r="Q106" s="58"/>
      <c r="R106" s="58"/>
    </row>
    <row r="107" spans="1:22" s="10" customFormat="1" ht="15.75" customHeight="1" x14ac:dyDescent="0.3">
      <c r="A107" s="50" t="s">
        <v>79</v>
      </c>
      <c r="B107" s="34" t="s">
        <v>358</v>
      </c>
      <c r="C107" s="38"/>
      <c r="D107" s="38"/>
      <c r="E107" s="38"/>
      <c r="F107" s="38"/>
      <c r="G107" s="38"/>
      <c r="H107" s="38"/>
      <c r="I107" s="38"/>
      <c r="J107" s="38"/>
      <c r="K107" s="38"/>
      <c r="L107" s="38">
        <v>916</v>
      </c>
      <c r="M107" s="38"/>
      <c r="N107" s="38"/>
      <c r="O107" s="28">
        <f t="shared" si="19"/>
        <v>916</v>
      </c>
      <c r="P107" s="59"/>
      <c r="Q107" s="60"/>
      <c r="R107" s="60"/>
    </row>
    <row r="108" spans="1:22" s="10" customFormat="1" ht="15.75" customHeight="1" x14ac:dyDescent="0.3">
      <c r="A108" s="50" t="s">
        <v>80</v>
      </c>
      <c r="B108" s="34" t="s">
        <v>359</v>
      </c>
      <c r="C108" s="38"/>
      <c r="D108" s="38"/>
      <c r="E108" s="38"/>
      <c r="F108" s="38"/>
      <c r="G108" s="38"/>
      <c r="H108" s="38"/>
      <c r="I108" s="38"/>
      <c r="J108" s="38"/>
      <c r="K108" s="38"/>
      <c r="L108" s="38">
        <v>12352</v>
      </c>
      <c r="M108" s="38"/>
      <c r="N108" s="38"/>
      <c r="O108" s="28">
        <f t="shared" si="19"/>
        <v>12352</v>
      </c>
      <c r="P108" s="59"/>
      <c r="Q108" s="60"/>
      <c r="R108" s="60"/>
    </row>
    <row r="109" spans="1:22" s="4" customFormat="1" ht="16.5" customHeight="1" x14ac:dyDescent="0.25">
      <c r="A109" s="81" t="s">
        <v>161</v>
      </c>
      <c r="B109" s="51" t="s">
        <v>162</v>
      </c>
      <c r="C109" s="39">
        <f>SUM(C110,C111)</f>
        <v>8400</v>
      </c>
      <c r="D109" s="39">
        <f t="shared" ref="D109:O109" si="22">SUM(D110,D111)</f>
        <v>0</v>
      </c>
      <c r="E109" s="39">
        <f t="shared" si="22"/>
        <v>0</v>
      </c>
      <c r="F109" s="39">
        <f t="shared" si="22"/>
        <v>289250</v>
      </c>
      <c r="G109" s="39">
        <f t="shared" si="22"/>
        <v>198910</v>
      </c>
      <c r="H109" s="39">
        <f t="shared" si="22"/>
        <v>0</v>
      </c>
      <c r="I109" s="39">
        <f t="shared" si="22"/>
        <v>0</v>
      </c>
      <c r="J109" s="39">
        <f t="shared" si="22"/>
        <v>0</v>
      </c>
      <c r="K109" s="39">
        <f t="shared" si="22"/>
        <v>0</v>
      </c>
      <c r="L109" s="39">
        <f t="shared" si="22"/>
        <v>5500</v>
      </c>
      <c r="M109" s="39">
        <f t="shared" si="22"/>
        <v>0</v>
      </c>
      <c r="N109" s="39">
        <f t="shared" si="22"/>
        <v>0</v>
      </c>
      <c r="O109" s="39">
        <f t="shared" si="22"/>
        <v>303150</v>
      </c>
      <c r="P109" s="88"/>
      <c r="Q109" s="58"/>
      <c r="R109" s="58"/>
    </row>
    <row r="110" spans="1:22" s="7" customFormat="1" ht="46.5" customHeight="1" x14ac:dyDescent="0.25">
      <c r="A110" s="45" t="s">
        <v>81</v>
      </c>
      <c r="B110" s="106" t="s">
        <v>391</v>
      </c>
      <c r="C110" s="134">
        <f>7900+500</f>
        <v>8400</v>
      </c>
      <c r="D110" s="30"/>
      <c r="E110" s="30"/>
      <c r="F110" s="30">
        <v>219120</v>
      </c>
      <c r="G110" s="30">
        <v>172330</v>
      </c>
      <c r="H110" s="30"/>
      <c r="I110" s="30"/>
      <c r="J110" s="30"/>
      <c r="K110" s="30"/>
      <c r="L110" s="30">
        <v>5500</v>
      </c>
      <c r="M110" s="30"/>
      <c r="N110" s="30"/>
      <c r="O110" s="28">
        <f t="shared" si="19"/>
        <v>233020</v>
      </c>
      <c r="P110" s="59"/>
      <c r="Q110" s="59"/>
      <c r="R110" s="59"/>
      <c r="S110" s="4"/>
      <c r="T110" s="4"/>
      <c r="U110" s="4"/>
      <c r="V110" s="4"/>
    </row>
    <row r="111" spans="1:22" s="7" customFormat="1" ht="31.5" customHeight="1" x14ac:dyDescent="0.25">
      <c r="A111" s="45" t="s">
        <v>152</v>
      </c>
      <c r="B111" s="80" t="s">
        <v>360</v>
      </c>
      <c r="C111" s="38"/>
      <c r="D111" s="39"/>
      <c r="E111" s="39"/>
      <c r="F111" s="38">
        <v>70130</v>
      </c>
      <c r="G111" s="38">
        <f>43160-16580</f>
        <v>26580</v>
      </c>
      <c r="H111" s="39"/>
      <c r="I111" s="39"/>
      <c r="J111" s="39"/>
      <c r="K111" s="39"/>
      <c r="L111" s="38"/>
      <c r="M111" s="39"/>
      <c r="N111" s="39"/>
      <c r="O111" s="28">
        <f>C111+F111+I111+L111</f>
        <v>70130</v>
      </c>
      <c r="P111" s="59"/>
      <c r="Q111" s="59"/>
      <c r="R111" s="59"/>
      <c r="S111" s="4"/>
      <c r="T111" s="4"/>
      <c r="U111" s="4"/>
      <c r="V111" s="4"/>
    </row>
    <row r="112" spans="1:22" s="1" customFormat="1" ht="15.75" customHeight="1" x14ac:dyDescent="0.3">
      <c r="A112" s="47"/>
      <c r="B112" s="144" t="s">
        <v>267</v>
      </c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86"/>
      <c r="Q112" s="17"/>
      <c r="R112" s="17"/>
    </row>
    <row r="113" spans="1:18" s="7" customFormat="1" ht="15.75" customHeight="1" x14ac:dyDescent="0.25">
      <c r="A113" s="30"/>
      <c r="B113" s="43" t="s">
        <v>28</v>
      </c>
      <c r="C113" s="39">
        <f t="shared" ref="C113:N113" si="23">SUM(C114,C115,C116,C117,C118,C119,C120,C121,C125,C138)</f>
        <v>3937266</v>
      </c>
      <c r="D113" s="39">
        <f t="shared" si="23"/>
        <v>3021215</v>
      </c>
      <c r="E113" s="39">
        <f t="shared" si="23"/>
        <v>0</v>
      </c>
      <c r="F113" s="39">
        <f t="shared" si="23"/>
        <v>50310</v>
      </c>
      <c r="G113" s="39">
        <f t="shared" si="23"/>
        <v>0</v>
      </c>
      <c r="H113" s="39">
        <f t="shared" si="23"/>
        <v>0</v>
      </c>
      <c r="I113" s="39">
        <f t="shared" si="23"/>
        <v>0</v>
      </c>
      <c r="J113" s="39">
        <f t="shared" si="23"/>
        <v>0</v>
      </c>
      <c r="K113" s="39">
        <f t="shared" si="23"/>
        <v>0</v>
      </c>
      <c r="L113" s="39">
        <f t="shared" si="23"/>
        <v>110126</v>
      </c>
      <c r="M113" s="39">
        <f t="shared" si="23"/>
        <v>0</v>
      </c>
      <c r="N113" s="39">
        <f t="shared" si="23"/>
        <v>0</v>
      </c>
      <c r="O113" s="39">
        <f>C113+F113+I113+L113</f>
        <v>4097702</v>
      </c>
      <c r="P113" s="88"/>
      <c r="Q113" s="59"/>
      <c r="R113" s="59">
        <f>O113+Q113</f>
        <v>4097702</v>
      </c>
    </row>
    <row r="114" spans="1:18" s="4" customFormat="1" ht="15.75" customHeight="1" x14ac:dyDescent="0.25">
      <c r="A114" s="28" t="s">
        <v>61</v>
      </c>
      <c r="B114" s="51" t="s">
        <v>15</v>
      </c>
      <c r="C114" s="28">
        <f>948500+52867</f>
        <v>1001367</v>
      </c>
      <c r="D114" s="28">
        <f>827500+52111</f>
        <v>879611</v>
      </c>
      <c r="E114" s="28"/>
      <c r="F114" s="28">
        <v>32164</v>
      </c>
      <c r="G114" s="28"/>
      <c r="H114" s="28"/>
      <c r="I114" s="28"/>
      <c r="J114" s="28"/>
      <c r="K114" s="28"/>
      <c r="L114" s="133">
        <f>2000+900+1000+2000</f>
        <v>5900</v>
      </c>
      <c r="M114" s="28"/>
      <c r="N114" s="28"/>
      <c r="O114" s="28">
        <f>C114+F114+I114+L114</f>
        <v>1039431</v>
      </c>
      <c r="P114" s="59"/>
      <c r="Q114" s="58"/>
      <c r="R114" s="58"/>
    </row>
    <row r="115" spans="1:18" s="4" customFormat="1" ht="15.75" customHeight="1" x14ac:dyDescent="0.25">
      <c r="A115" s="28" t="s">
        <v>91</v>
      </c>
      <c r="B115" s="43" t="s">
        <v>16</v>
      </c>
      <c r="C115" s="28">
        <f>278100+10649</f>
        <v>288749</v>
      </c>
      <c r="D115" s="28">
        <f>236000+10497</f>
        <v>246497</v>
      </c>
      <c r="E115" s="28"/>
      <c r="F115" s="28"/>
      <c r="G115" s="28"/>
      <c r="H115" s="28"/>
      <c r="I115" s="28"/>
      <c r="J115" s="28"/>
      <c r="K115" s="28"/>
      <c r="L115" s="28">
        <f>15070+8000</f>
        <v>23070</v>
      </c>
      <c r="M115" s="28"/>
      <c r="N115" s="28"/>
      <c r="O115" s="28">
        <f t="shared" ref="O115:O141" si="24">C115+F115+I115+L115</f>
        <v>311819</v>
      </c>
      <c r="P115" s="59"/>
      <c r="Q115" s="58"/>
      <c r="R115" s="58"/>
    </row>
    <row r="116" spans="1:18" s="9" customFormat="1" ht="15.75" customHeight="1" x14ac:dyDescent="0.25">
      <c r="A116" s="28" t="s">
        <v>92</v>
      </c>
      <c r="B116" s="43" t="s">
        <v>17</v>
      </c>
      <c r="C116" s="133">
        <f>905400+37273+12170</f>
        <v>954843</v>
      </c>
      <c r="D116" s="28">
        <f>786000+36740</f>
        <v>822740</v>
      </c>
      <c r="E116" s="28"/>
      <c r="F116" s="28"/>
      <c r="G116" s="28"/>
      <c r="H116" s="28"/>
      <c r="I116" s="28"/>
      <c r="J116" s="28"/>
      <c r="K116" s="28"/>
      <c r="L116" s="28">
        <f>12000+18000+13000</f>
        <v>43000</v>
      </c>
      <c r="M116" s="28"/>
      <c r="N116" s="28"/>
      <c r="O116" s="28">
        <f t="shared" si="24"/>
        <v>997843</v>
      </c>
      <c r="P116" s="59"/>
      <c r="Q116" s="59"/>
      <c r="R116" s="59"/>
    </row>
    <row r="117" spans="1:18" s="9" customFormat="1" ht="15.75" customHeight="1" x14ac:dyDescent="0.25">
      <c r="A117" s="28" t="s">
        <v>93</v>
      </c>
      <c r="B117" s="43" t="s">
        <v>121</v>
      </c>
      <c r="C117" s="28">
        <f>165300+9128</f>
        <v>174428</v>
      </c>
      <c r="D117" s="28">
        <f>137000+8998</f>
        <v>145998</v>
      </c>
      <c r="E117" s="28"/>
      <c r="F117" s="28"/>
      <c r="G117" s="28"/>
      <c r="H117" s="28"/>
      <c r="I117" s="28"/>
      <c r="J117" s="28"/>
      <c r="K117" s="28"/>
      <c r="L117" s="28">
        <f>200+500</f>
        <v>700</v>
      </c>
      <c r="M117" s="28"/>
      <c r="N117" s="28"/>
      <c r="O117" s="28">
        <f t="shared" si="24"/>
        <v>175128</v>
      </c>
      <c r="P117" s="59"/>
      <c r="Q117" s="59"/>
      <c r="R117" s="59"/>
    </row>
    <row r="118" spans="1:18" s="9" customFormat="1" ht="15.75" customHeight="1" x14ac:dyDescent="0.25">
      <c r="A118" s="28" t="s">
        <v>94</v>
      </c>
      <c r="B118" s="43" t="s">
        <v>122</v>
      </c>
      <c r="C118" s="28">
        <f>106600+4564</f>
        <v>111164</v>
      </c>
      <c r="D118" s="28">
        <f>83000+4499</f>
        <v>87499</v>
      </c>
      <c r="E118" s="28"/>
      <c r="F118" s="28"/>
      <c r="G118" s="28"/>
      <c r="H118" s="28"/>
      <c r="I118" s="28"/>
      <c r="J118" s="28"/>
      <c r="K118" s="28"/>
      <c r="L118" s="28">
        <f>700</f>
        <v>700</v>
      </c>
      <c r="M118" s="28"/>
      <c r="N118" s="28"/>
      <c r="O118" s="28">
        <f t="shared" si="24"/>
        <v>111864</v>
      </c>
      <c r="P118" s="59"/>
      <c r="Q118" s="59"/>
      <c r="R118" s="59"/>
    </row>
    <row r="119" spans="1:18" s="9" customFormat="1" ht="15.75" customHeight="1" x14ac:dyDescent="0.25">
      <c r="A119" s="28" t="s">
        <v>95</v>
      </c>
      <c r="B119" s="43" t="s">
        <v>124</v>
      </c>
      <c r="C119" s="28">
        <f>163100+7607</f>
        <v>170707</v>
      </c>
      <c r="D119" s="28">
        <f>128000+7498</f>
        <v>135498</v>
      </c>
      <c r="E119" s="28"/>
      <c r="F119" s="28"/>
      <c r="G119" s="28"/>
      <c r="H119" s="28"/>
      <c r="I119" s="28"/>
      <c r="J119" s="28"/>
      <c r="K119" s="28"/>
      <c r="L119" s="28">
        <v>9000</v>
      </c>
      <c r="M119" s="28"/>
      <c r="N119" s="28"/>
      <c r="O119" s="28">
        <f t="shared" si="24"/>
        <v>179707</v>
      </c>
      <c r="P119" s="59"/>
      <c r="Q119" s="59"/>
      <c r="R119" s="59"/>
    </row>
    <row r="120" spans="1:18" s="9" customFormat="1" ht="15.75" customHeight="1" x14ac:dyDescent="0.25">
      <c r="A120" s="28" t="s">
        <v>125</v>
      </c>
      <c r="B120" s="43" t="s">
        <v>123</v>
      </c>
      <c r="C120" s="28">
        <f>156600+9508</f>
        <v>166108</v>
      </c>
      <c r="D120" s="28">
        <f>140000+9372</f>
        <v>149372</v>
      </c>
      <c r="E120" s="28"/>
      <c r="F120" s="28"/>
      <c r="G120" s="28"/>
      <c r="H120" s="28"/>
      <c r="I120" s="28"/>
      <c r="J120" s="28"/>
      <c r="K120" s="28"/>
      <c r="L120" s="28">
        <v>2336</v>
      </c>
      <c r="M120" s="28"/>
      <c r="N120" s="28"/>
      <c r="O120" s="28">
        <f t="shared" si="24"/>
        <v>168444</v>
      </c>
      <c r="P120" s="59"/>
      <c r="Q120" s="59"/>
      <c r="R120" s="59"/>
    </row>
    <row r="121" spans="1:18" s="2" customFormat="1" ht="17.25" customHeight="1" x14ac:dyDescent="0.3">
      <c r="A121" s="28" t="s">
        <v>126</v>
      </c>
      <c r="B121" s="51" t="s">
        <v>361</v>
      </c>
      <c r="C121" s="28">
        <f>SUM(C122:C124)</f>
        <v>666800</v>
      </c>
      <c r="D121" s="28">
        <f t="shared" ref="D121:I121" si="25">SUM(D122:D124)</f>
        <v>554000</v>
      </c>
      <c r="E121" s="28">
        <f t="shared" si="25"/>
        <v>0</v>
      </c>
      <c r="F121" s="28"/>
      <c r="G121" s="28"/>
      <c r="H121" s="28">
        <f t="shared" si="25"/>
        <v>0</v>
      </c>
      <c r="I121" s="28">
        <f t="shared" si="25"/>
        <v>0</v>
      </c>
      <c r="J121" s="28"/>
      <c r="K121" s="28">
        <f>SUM(K122:K124)</f>
        <v>0</v>
      </c>
      <c r="L121" s="28">
        <f>SUM(L122:L124)</f>
        <v>25420</v>
      </c>
      <c r="M121" s="28">
        <f>SUM(M122:M124)</f>
        <v>0</v>
      </c>
      <c r="N121" s="28">
        <f>SUM(N122:N124)</f>
        <v>0</v>
      </c>
      <c r="O121" s="28">
        <f t="shared" si="24"/>
        <v>692220</v>
      </c>
      <c r="P121" s="59"/>
      <c r="Q121" s="17"/>
      <c r="R121" s="17"/>
    </row>
    <row r="122" spans="1:18" s="2" customFormat="1" ht="15.75" customHeight="1" x14ac:dyDescent="0.3">
      <c r="A122" s="45" t="s">
        <v>274</v>
      </c>
      <c r="B122" s="34" t="s">
        <v>362</v>
      </c>
      <c r="C122" s="30">
        <v>591800</v>
      </c>
      <c r="D122" s="30">
        <v>554000</v>
      </c>
      <c r="E122" s="30"/>
      <c r="F122" s="28"/>
      <c r="G122" s="30"/>
      <c r="H122" s="30"/>
      <c r="I122" s="28"/>
      <c r="J122" s="28"/>
      <c r="K122" s="30"/>
      <c r="L122" s="30">
        <f>1300+300+23820</f>
        <v>25420</v>
      </c>
      <c r="M122" s="30"/>
      <c r="N122" s="30"/>
      <c r="O122" s="28">
        <f t="shared" si="24"/>
        <v>617220</v>
      </c>
      <c r="P122" s="59"/>
      <c r="Q122" s="17"/>
      <c r="R122" s="17"/>
    </row>
    <row r="123" spans="1:18" s="2" customFormat="1" ht="15.75" customHeight="1" x14ac:dyDescent="0.3">
      <c r="A123" s="45" t="s">
        <v>275</v>
      </c>
      <c r="B123" s="34" t="s">
        <v>308</v>
      </c>
      <c r="C123" s="38">
        <v>25000</v>
      </c>
      <c r="D123" s="30"/>
      <c r="E123" s="30"/>
      <c r="F123" s="39"/>
      <c r="G123" s="30"/>
      <c r="H123" s="30"/>
      <c r="I123" s="39"/>
      <c r="J123" s="39"/>
      <c r="K123" s="30"/>
      <c r="L123" s="39"/>
      <c r="M123" s="30"/>
      <c r="N123" s="30"/>
      <c r="O123" s="28">
        <f t="shared" si="24"/>
        <v>25000</v>
      </c>
      <c r="P123" s="59"/>
      <c r="Q123" s="17"/>
      <c r="R123" s="17"/>
    </row>
    <row r="124" spans="1:18" s="2" customFormat="1" ht="15.75" customHeight="1" x14ac:dyDescent="0.3">
      <c r="A124" s="45" t="s">
        <v>276</v>
      </c>
      <c r="B124" s="34" t="s">
        <v>31</v>
      </c>
      <c r="C124" s="38">
        <v>50000</v>
      </c>
      <c r="D124" s="30"/>
      <c r="E124" s="30"/>
      <c r="F124" s="39"/>
      <c r="G124" s="30"/>
      <c r="H124" s="30"/>
      <c r="I124" s="39"/>
      <c r="J124" s="39"/>
      <c r="K124" s="30"/>
      <c r="L124" s="39"/>
      <c r="M124" s="30"/>
      <c r="N124" s="30"/>
      <c r="O124" s="28">
        <f t="shared" si="24"/>
        <v>50000</v>
      </c>
      <c r="P124" s="59"/>
      <c r="Q124" s="17"/>
      <c r="R124" s="17"/>
    </row>
    <row r="125" spans="1:18" s="7" customFormat="1" ht="15.75" customHeight="1" x14ac:dyDescent="0.25">
      <c r="A125" s="28" t="s">
        <v>127</v>
      </c>
      <c r="B125" s="43" t="s">
        <v>23</v>
      </c>
      <c r="C125" s="39">
        <f t="shared" ref="C125:N125" si="26">SUM(C126:C137)</f>
        <v>256100</v>
      </c>
      <c r="D125" s="39">
        <f t="shared" si="26"/>
        <v>0</v>
      </c>
      <c r="E125" s="39">
        <f t="shared" si="26"/>
        <v>0</v>
      </c>
      <c r="F125" s="39">
        <f t="shared" si="26"/>
        <v>18146</v>
      </c>
      <c r="G125" s="39">
        <f t="shared" si="26"/>
        <v>0</v>
      </c>
      <c r="H125" s="39">
        <f t="shared" si="26"/>
        <v>0</v>
      </c>
      <c r="I125" s="39">
        <f t="shared" si="26"/>
        <v>0</v>
      </c>
      <c r="J125" s="39">
        <f t="shared" si="26"/>
        <v>0</v>
      </c>
      <c r="K125" s="39">
        <f t="shared" si="26"/>
        <v>0</v>
      </c>
      <c r="L125" s="39">
        <f t="shared" si="26"/>
        <v>0</v>
      </c>
      <c r="M125" s="39">
        <f t="shared" si="26"/>
        <v>0</v>
      </c>
      <c r="N125" s="39">
        <f t="shared" si="26"/>
        <v>0</v>
      </c>
      <c r="O125" s="28">
        <f>C125+F125+I125+L125</f>
        <v>274246</v>
      </c>
      <c r="P125" s="59"/>
      <c r="Q125" s="59"/>
      <c r="R125" s="59"/>
    </row>
    <row r="126" spans="1:18" s="11" customFormat="1" ht="15.75" customHeight="1" x14ac:dyDescent="0.25">
      <c r="A126" s="45" t="s">
        <v>277</v>
      </c>
      <c r="B126" s="46" t="s">
        <v>206</v>
      </c>
      <c r="C126" s="38">
        <v>15000</v>
      </c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8">
        <f t="shared" si="24"/>
        <v>15000</v>
      </c>
      <c r="P126" s="59"/>
      <c r="Q126" s="59"/>
      <c r="R126" s="59"/>
    </row>
    <row r="127" spans="1:18" s="11" customFormat="1" ht="15.75" customHeight="1" x14ac:dyDescent="0.25">
      <c r="A127" s="45" t="s">
        <v>278</v>
      </c>
      <c r="B127" s="46" t="s">
        <v>419</v>
      </c>
      <c r="C127" s="38">
        <v>1000</v>
      </c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8">
        <f t="shared" si="24"/>
        <v>1000</v>
      </c>
      <c r="P127" s="59"/>
      <c r="Q127" s="59"/>
      <c r="R127" s="59"/>
    </row>
    <row r="128" spans="1:18" s="11" customFormat="1" ht="29.25" customHeight="1" x14ac:dyDescent="0.25">
      <c r="A128" s="45" t="s">
        <v>279</v>
      </c>
      <c r="B128" s="46" t="s">
        <v>420</v>
      </c>
      <c r="C128" s="130">
        <f>50000-15000</f>
        <v>35000</v>
      </c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8">
        <f t="shared" si="24"/>
        <v>35000</v>
      </c>
      <c r="P128" s="59"/>
      <c r="Q128" s="59"/>
      <c r="R128" s="59"/>
    </row>
    <row r="129" spans="1:18" s="11" customFormat="1" ht="15.75" customHeight="1" x14ac:dyDescent="0.25">
      <c r="A129" s="29" t="s">
        <v>280</v>
      </c>
      <c r="B129" s="46" t="s">
        <v>309</v>
      </c>
      <c r="C129" s="38">
        <v>12000</v>
      </c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8">
        <f t="shared" si="24"/>
        <v>12000</v>
      </c>
      <c r="P129" s="59"/>
      <c r="Q129" s="59"/>
      <c r="R129" s="59"/>
    </row>
    <row r="130" spans="1:18" s="11" customFormat="1" ht="15.75" customHeight="1" x14ac:dyDescent="0.25">
      <c r="A130" s="29" t="s">
        <v>281</v>
      </c>
      <c r="B130" s="46" t="s">
        <v>458</v>
      </c>
      <c r="C130" s="38">
        <v>30000</v>
      </c>
      <c r="D130" s="38"/>
      <c r="E130" s="38"/>
      <c r="F130" s="38">
        <v>18146</v>
      </c>
      <c r="G130" s="38"/>
      <c r="H130" s="38"/>
      <c r="I130" s="38"/>
      <c r="J130" s="38"/>
      <c r="K130" s="38"/>
      <c r="L130" s="38"/>
      <c r="M130" s="38"/>
      <c r="N130" s="38"/>
      <c r="O130" s="28">
        <f t="shared" si="24"/>
        <v>48146</v>
      </c>
      <c r="P130" s="59"/>
      <c r="Q130" s="59"/>
      <c r="R130" s="59"/>
    </row>
    <row r="131" spans="1:18" s="11" customFormat="1" ht="15.75" customHeight="1" x14ac:dyDescent="0.25">
      <c r="A131" s="29" t="s">
        <v>282</v>
      </c>
      <c r="B131" s="46" t="s">
        <v>156</v>
      </c>
      <c r="C131" s="38">
        <v>6000</v>
      </c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8">
        <f t="shared" si="24"/>
        <v>6000</v>
      </c>
      <c r="P131" s="59"/>
      <c r="Q131" s="59"/>
      <c r="R131" s="59"/>
    </row>
    <row r="132" spans="1:18" s="7" customFormat="1" ht="15.75" customHeight="1" x14ac:dyDescent="0.25">
      <c r="A132" s="45" t="s">
        <v>283</v>
      </c>
      <c r="B132" s="46" t="s">
        <v>285</v>
      </c>
      <c r="C132" s="30">
        <v>9000</v>
      </c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8">
        <f t="shared" si="24"/>
        <v>9000</v>
      </c>
      <c r="P132" s="59"/>
      <c r="Q132" s="59"/>
      <c r="R132" s="59"/>
    </row>
    <row r="133" spans="1:18" s="7" customFormat="1" ht="15.75" customHeight="1" x14ac:dyDescent="0.25">
      <c r="A133" s="45" t="s">
        <v>284</v>
      </c>
      <c r="B133" s="46" t="s">
        <v>363</v>
      </c>
      <c r="C133" s="30">
        <v>25000</v>
      </c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8">
        <f t="shared" si="24"/>
        <v>25000</v>
      </c>
      <c r="P133" s="59"/>
      <c r="Q133" s="59"/>
      <c r="R133" s="59"/>
    </row>
    <row r="134" spans="1:18" s="7" customFormat="1" ht="30.75" customHeight="1" x14ac:dyDescent="0.25">
      <c r="A134" s="45" t="s">
        <v>286</v>
      </c>
      <c r="B134" s="46" t="s">
        <v>421</v>
      </c>
      <c r="C134" s="30">
        <v>100000</v>
      </c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8">
        <f t="shared" si="24"/>
        <v>100000</v>
      </c>
      <c r="P134" s="59"/>
      <c r="Q134" s="59"/>
      <c r="R134" s="59"/>
    </row>
    <row r="135" spans="1:18" s="11" customFormat="1" ht="15.75" customHeight="1" x14ac:dyDescent="0.25">
      <c r="A135" s="44" t="s">
        <v>364</v>
      </c>
      <c r="B135" s="46" t="s">
        <v>287</v>
      </c>
      <c r="C135" s="38">
        <v>9000</v>
      </c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8">
        <f t="shared" si="24"/>
        <v>9000</v>
      </c>
      <c r="P135" s="59"/>
      <c r="Q135" s="59"/>
      <c r="R135" s="59"/>
    </row>
    <row r="136" spans="1:18" s="11" customFormat="1" ht="29.25" customHeight="1" x14ac:dyDescent="0.25">
      <c r="A136" s="44" t="s">
        <v>288</v>
      </c>
      <c r="B136" s="46" t="s">
        <v>310</v>
      </c>
      <c r="C136" s="38">
        <v>11100</v>
      </c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8">
        <f t="shared" si="24"/>
        <v>11100</v>
      </c>
      <c r="P136" s="59"/>
      <c r="Q136" s="59"/>
      <c r="R136" s="59"/>
    </row>
    <row r="137" spans="1:18" s="11" customFormat="1" ht="15.75" customHeight="1" x14ac:dyDescent="0.25">
      <c r="A137" s="44" t="s">
        <v>289</v>
      </c>
      <c r="B137" s="46" t="s">
        <v>422</v>
      </c>
      <c r="C137" s="38">
        <v>3000</v>
      </c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8">
        <f t="shared" si="24"/>
        <v>3000</v>
      </c>
      <c r="P137" s="59"/>
      <c r="Q137" s="59"/>
      <c r="R137" s="59"/>
    </row>
    <row r="138" spans="1:18" s="9" customFormat="1" ht="17.25" customHeight="1" x14ac:dyDescent="0.25">
      <c r="A138" s="28" t="s">
        <v>128</v>
      </c>
      <c r="B138" s="43" t="s">
        <v>24</v>
      </c>
      <c r="C138" s="28">
        <f t="shared" ref="C138:N138" si="27">SUM(C139:C142)</f>
        <v>147000</v>
      </c>
      <c r="D138" s="28">
        <f t="shared" si="27"/>
        <v>0</v>
      </c>
      <c r="E138" s="28">
        <f t="shared" si="27"/>
        <v>0</v>
      </c>
      <c r="F138" s="28">
        <f t="shared" si="27"/>
        <v>0</v>
      </c>
      <c r="G138" s="28">
        <f t="shared" si="27"/>
        <v>0</v>
      </c>
      <c r="H138" s="28">
        <f t="shared" si="27"/>
        <v>0</v>
      </c>
      <c r="I138" s="28">
        <f t="shared" si="27"/>
        <v>0</v>
      </c>
      <c r="J138" s="28">
        <f t="shared" si="27"/>
        <v>0</v>
      </c>
      <c r="K138" s="28">
        <f t="shared" si="27"/>
        <v>0</v>
      </c>
      <c r="L138" s="28">
        <f t="shared" si="27"/>
        <v>0</v>
      </c>
      <c r="M138" s="28">
        <f t="shared" si="27"/>
        <v>0</v>
      </c>
      <c r="N138" s="28">
        <f t="shared" si="27"/>
        <v>0</v>
      </c>
      <c r="O138" s="28">
        <f t="shared" si="24"/>
        <v>147000</v>
      </c>
      <c r="P138" s="59"/>
      <c r="Q138" s="59"/>
      <c r="R138" s="59"/>
    </row>
    <row r="139" spans="1:18" s="7" customFormat="1" ht="30.75" customHeight="1" x14ac:dyDescent="0.25">
      <c r="A139" s="31" t="s">
        <v>167</v>
      </c>
      <c r="B139" s="34" t="s">
        <v>423</v>
      </c>
      <c r="C139" s="30">
        <v>30000</v>
      </c>
      <c r="D139" s="32"/>
      <c r="E139" s="30"/>
      <c r="F139" s="32"/>
      <c r="G139" s="32"/>
      <c r="H139" s="32"/>
      <c r="I139" s="32"/>
      <c r="J139" s="32"/>
      <c r="K139" s="32"/>
      <c r="L139" s="32"/>
      <c r="M139" s="32"/>
      <c r="N139" s="32"/>
      <c r="O139" s="28">
        <f t="shared" si="24"/>
        <v>30000</v>
      </c>
      <c r="P139" s="59"/>
      <c r="Q139" s="59"/>
      <c r="R139" s="59"/>
    </row>
    <row r="140" spans="1:18" s="7" customFormat="1" ht="15.75" customHeight="1" x14ac:dyDescent="0.25">
      <c r="A140" s="31" t="s">
        <v>365</v>
      </c>
      <c r="B140" s="34" t="s">
        <v>459</v>
      </c>
      <c r="C140" s="30">
        <v>15000</v>
      </c>
      <c r="D140" s="32"/>
      <c r="E140" s="30"/>
      <c r="F140" s="32"/>
      <c r="G140" s="32"/>
      <c r="H140" s="32"/>
      <c r="I140" s="32"/>
      <c r="J140" s="32"/>
      <c r="K140" s="32"/>
      <c r="L140" s="32"/>
      <c r="M140" s="32"/>
      <c r="N140" s="32"/>
      <c r="O140" s="28">
        <f t="shared" si="24"/>
        <v>15000</v>
      </c>
      <c r="P140" s="59"/>
      <c r="Q140" s="59"/>
      <c r="R140" s="59"/>
    </row>
    <row r="141" spans="1:18" s="7" customFormat="1" ht="15.75" customHeight="1" x14ac:dyDescent="0.25">
      <c r="A141" s="31" t="s">
        <v>366</v>
      </c>
      <c r="B141" s="34" t="s">
        <v>424</v>
      </c>
      <c r="C141" s="30">
        <v>12000</v>
      </c>
      <c r="D141" s="32"/>
      <c r="E141" s="30"/>
      <c r="F141" s="32"/>
      <c r="G141" s="32"/>
      <c r="H141" s="32"/>
      <c r="I141" s="32"/>
      <c r="J141" s="32"/>
      <c r="K141" s="32"/>
      <c r="L141" s="32"/>
      <c r="M141" s="32"/>
      <c r="N141" s="32"/>
      <c r="O141" s="28">
        <f t="shared" si="24"/>
        <v>12000</v>
      </c>
      <c r="P141" s="59"/>
      <c r="Q141" s="59"/>
      <c r="R141" s="59"/>
    </row>
    <row r="142" spans="1:18" s="11" customFormat="1" ht="45.75" customHeight="1" x14ac:dyDescent="0.25">
      <c r="A142" s="44" t="s">
        <v>460</v>
      </c>
      <c r="B142" s="46" t="s">
        <v>461</v>
      </c>
      <c r="C142" s="30">
        <f>85000+5000</f>
        <v>90000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8">
        <f>C142+F142+I142+L142</f>
        <v>90000</v>
      </c>
      <c r="P142" s="59"/>
      <c r="Q142" s="59"/>
      <c r="R142" s="59"/>
    </row>
    <row r="143" spans="1:18" s="1" customFormat="1" ht="18" customHeight="1" x14ac:dyDescent="0.3">
      <c r="A143" s="47"/>
      <c r="B143" s="145" t="s">
        <v>204</v>
      </c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146"/>
      <c r="N143" s="146"/>
      <c r="O143" s="147"/>
      <c r="P143" s="86"/>
      <c r="Q143" s="17"/>
      <c r="R143" s="17"/>
    </row>
    <row r="144" spans="1:18" s="7" customFormat="1" ht="15.75" customHeight="1" x14ac:dyDescent="0.25">
      <c r="A144" s="30"/>
      <c r="B144" s="43" t="s">
        <v>28</v>
      </c>
      <c r="C144" s="39">
        <f t="shared" ref="C144:H144" si="28">SUM(C145:C146,C149,C152:C154,C157:C157,C160,C163,C166,C169:C169,C172,C175,C178:C180,C181,C194)</f>
        <v>9326780</v>
      </c>
      <c r="D144" s="39">
        <f t="shared" si="28"/>
        <v>6609651</v>
      </c>
      <c r="E144" s="39">
        <f t="shared" si="28"/>
        <v>0</v>
      </c>
      <c r="F144" s="39">
        <f>SUM(F145:F146,F149,F152:F154,F157:F157,F160,F163,F166,F169:F169,F172,F175,F178:F180,F181,F194)</f>
        <v>851393</v>
      </c>
      <c r="G144" s="39">
        <f t="shared" si="28"/>
        <v>297853</v>
      </c>
      <c r="H144" s="39">
        <f t="shared" si="28"/>
        <v>390740</v>
      </c>
      <c r="I144" s="39">
        <f>SUM(I145:I146,I149,I152:I154,I157:I157,I160,I163,I166,I169:I169,I172,I175,I178:I180,I181)</f>
        <v>10538400</v>
      </c>
      <c r="J144" s="39">
        <f>SUM(J145:J146,J149,J152:J154,J157:J157,J160,J163,J166,J169:J169,J172,J175,J178:J180,J181)</f>
        <v>10193706</v>
      </c>
      <c r="K144" s="39">
        <f>SUM(K145:K146,K149,K152:K154,K157:K157,K160,K163,K166,K169:K169,K172,K175,K178:K180,K181,K194)</f>
        <v>0</v>
      </c>
      <c r="L144" s="39">
        <f>SUM(L145:L146,L149,L152:L154,L157:L157,L160,L163,L166,L169:L169,L172,L175,L178:L180,L181,L194)</f>
        <v>606560</v>
      </c>
      <c r="M144" s="39">
        <f>SUM(M145:M146,M149,M152:M154,M157:M157,M160,M163,M166,M169:M169,M172,M175,M178:M180,M181,M194)</f>
        <v>24670</v>
      </c>
      <c r="N144" s="39">
        <f>SUM(N145:N146,N149,N152:N154,N157:N157,N160,N163,N166,N169:N169,N172,N175,N178:N180,N181,N194)</f>
        <v>0</v>
      </c>
      <c r="O144" s="28">
        <f>C144+F144+I144+L144</f>
        <v>21323133</v>
      </c>
      <c r="P144" s="59"/>
      <c r="Q144" s="59"/>
      <c r="R144" s="59">
        <f>O144+Q144</f>
        <v>21323133</v>
      </c>
    </row>
    <row r="145" spans="1:18" s="10" customFormat="1" ht="15.75" customHeight="1" x14ac:dyDescent="0.3">
      <c r="A145" s="39" t="s">
        <v>129</v>
      </c>
      <c r="B145" s="101" t="s">
        <v>12</v>
      </c>
      <c r="C145" s="39">
        <f>470000+1368+58438</f>
        <v>529806</v>
      </c>
      <c r="D145" s="39">
        <v>371000</v>
      </c>
      <c r="E145" s="39"/>
      <c r="F145" s="39"/>
      <c r="G145" s="39"/>
      <c r="H145" s="39"/>
      <c r="I145" s="39">
        <v>1485053</v>
      </c>
      <c r="J145" s="39">
        <v>1430788</v>
      </c>
      <c r="K145" s="39"/>
      <c r="L145" s="129">
        <f>4030+150+22490</f>
        <v>26670</v>
      </c>
      <c r="M145" s="39"/>
      <c r="N145" s="39"/>
      <c r="O145" s="28">
        <f t="shared" ref="O145:O199" si="29">C145+F145+I145+L145</f>
        <v>2041529</v>
      </c>
      <c r="P145" s="59"/>
      <c r="Q145" s="60"/>
      <c r="R145" s="60"/>
    </row>
    <row r="146" spans="1:18" s="10" customFormat="1" ht="15.75" customHeight="1" x14ac:dyDescent="0.3">
      <c r="A146" s="39" t="s">
        <v>130</v>
      </c>
      <c r="B146" s="51" t="s">
        <v>84</v>
      </c>
      <c r="C146" s="39">
        <f>C147+C148</f>
        <v>545532</v>
      </c>
      <c r="D146" s="39">
        <f t="shared" ref="D146:K146" si="30">D147+D148</f>
        <v>394000</v>
      </c>
      <c r="E146" s="39">
        <f t="shared" si="30"/>
        <v>0</v>
      </c>
      <c r="F146" s="39">
        <f t="shared" si="30"/>
        <v>15199</v>
      </c>
      <c r="G146" s="39">
        <f t="shared" si="30"/>
        <v>8528</v>
      </c>
      <c r="H146" s="39">
        <f t="shared" si="30"/>
        <v>0</v>
      </c>
      <c r="I146" s="39">
        <f t="shared" si="30"/>
        <v>842299</v>
      </c>
      <c r="J146" s="39">
        <f>J147+J148</f>
        <v>816335</v>
      </c>
      <c r="K146" s="39">
        <f t="shared" si="30"/>
        <v>0</v>
      </c>
      <c r="L146" s="129">
        <f>L147+L148+1200</f>
        <v>20520</v>
      </c>
      <c r="M146" s="39">
        <f>M147+M148</f>
        <v>0</v>
      </c>
      <c r="N146" s="39">
        <f>N147+N148</f>
        <v>0</v>
      </c>
      <c r="O146" s="28">
        <f>C146+F146+I146+L146</f>
        <v>1423550</v>
      </c>
      <c r="P146" s="59"/>
      <c r="Q146" s="60"/>
      <c r="R146" s="60"/>
    </row>
    <row r="147" spans="1:18" s="10" customFormat="1" ht="15.75" hidden="1" customHeight="1" x14ac:dyDescent="0.3">
      <c r="A147" s="50" t="s">
        <v>367</v>
      </c>
      <c r="B147" s="34" t="s">
        <v>27</v>
      </c>
      <c r="C147" s="38">
        <f>133300</f>
        <v>133300</v>
      </c>
      <c r="D147" s="38">
        <v>129000</v>
      </c>
      <c r="E147" s="38"/>
      <c r="F147" s="38">
        <v>15199</v>
      </c>
      <c r="G147" s="38">
        <f>8528</f>
        <v>8528</v>
      </c>
      <c r="H147" s="38"/>
      <c r="I147" s="38">
        <v>66252</v>
      </c>
      <c r="J147" s="38">
        <v>63339</v>
      </c>
      <c r="K147" s="38"/>
      <c r="L147" s="38">
        <v>19320</v>
      </c>
      <c r="M147" s="38"/>
      <c r="N147" s="38"/>
      <c r="O147" s="28">
        <f>C147+F147+I147+L147</f>
        <v>234071</v>
      </c>
      <c r="P147" s="59"/>
      <c r="Q147" s="60"/>
      <c r="R147" s="60"/>
    </row>
    <row r="148" spans="1:18" s="10" customFormat="1" ht="15.75" hidden="1" customHeight="1" x14ac:dyDescent="0.3">
      <c r="A148" s="50" t="s">
        <v>368</v>
      </c>
      <c r="B148" s="34" t="s">
        <v>26</v>
      </c>
      <c r="C148" s="38">
        <f>515300-133300+5000+25232</f>
        <v>412232</v>
      </c>
      <c r="D148" s="38">
        <f>394000-129000</f>
        <v>265000</v>
      </c>
      <c r="E148" s="38"/>
      <c r="F148" s="38"/>
      <c r="G148" s="38"/>
      <c r="H148" s="38"/>
      <c r="I148" s="38">
        <v>776047</v>
      </c>
      <c r="J148" s="38">
        <v>752996</v>
      </c>
      <c r="K148" s="38"/>
      <c r="L148" s="38"/>
      <c r="M148" s="38"/>
      <c r="N148" s="38"/>
      <c r="O148" s="28">
        <f>C148+F148+I148+L148</f>
        <v>1188279</v>
      </c>
      <c r="P148" s="59"/>
      <c r="Q148" s="60"/>
      <c r="R148" s="60"/>
    </row>
    <row r="149" spans="1:18" s="10" customFormat="1" ht="15.6" x14ac:dyDescent="0.3">
      <c r="A149" s="39" t="s">
        <v>131</v>
      </c>
      <c r="B149" s="51" t="s">
        <v>574</v>
      </c>
      <c r="C149" s="129">
        <f>C150+C151</f>
        <v>873798</v>
      </c>
      <c r="D149" s="39">
        <f t="shared" ref="D149:K149" si="31">D150+D151</f>
        <v>425000</v>
      </c>
      <c r="E149" s="39">
        <f t="shared" si="31"/>
        <v>0</v>
      </c>
      <c r="F149" s="39">
        <f t="shared" si="31"/>
        <v>11399</v>
      </c>
      <c r="G149" s="39">
        <f t="shared" si="31"/>
        <v>9932</v>
      </c>
      <c r="H149" s="39">
        <f t="shared" si="31"/>
        <v>0</v>
      </c>
      <c r="I149" s="129">
        <f t="shared" si="31"/>
        <v>900858</v>
      </c>
      <c r="J149" s="39">
        <f>J150+J151</f>
        <v>737167</v>
      </c>
      <c r="K149" s="39">
        <f t="shared" si="31"/>
        <v>0</v>
      </c>
      <c r="L149" s="129">
        <f>L150+L151+4200</f>
        <v>40395</v>
      </c>
      <c r="M149" s="39">
        <f>M150+M151</f>
        <v>0</v>
      </c>
      <c r="N149" s="39">
        <f>N150+N151</f>
        <v>0</v>
      </c>
      <c r="O149" s="28">
        <f t="shared" si="29"/>
        <v>1826450</v>
      </c>
      <c r="P149" s="59"/>
      <c r="Q149" s="60"/>
      <c r="R149" s="60"/>
    </row>
    <row r="150" spans="1:18" s="10" customFormat="1" ht="15.75" hidden="1" customHeight="1" x14ac:dyDescent="0.3">
      <c r="A150" s="50" t="s">
        <v>168</v>
      </c>
      <c r="B150" s="34" t="s">
        <v>27</v>
      </c>
      <c r="C150" s="130">
        <f>140300+2708+54187</f>
        <v>197195</v>
      </c>
      <c r="D150" s="38">
        <v>136000</v>
      </c>
      <c r="E150" s="38"/>
      <c r="F150" s="38">
        <f>11399</f>
        <v>11399</v>
      </c>
      <c r="G150" s="38">
        <f>9932</f>
        <v>9932</v>
      </c>
      <c r="H150" s="38"/>
      <c r="I150" s="130">
        <f>108815+32423</f>
        <v>141238</v>
      </c>
      <c r="J150" s="38">
        <v>105696</v>
      </c>
      <c r="K150" s="38"/>
      <c r="L150" s="130">
        <f>19370+16615</f>
        <v>35985</v>
      </c>
      <c r="M150" s="38"/>
      <c r="N150" s="38"/>
      <c r="O150" s="28">
        <f t="shared" si="29"/>
        <v>385817</v>
      </c>
      <c r="P150" s="59"/>
      <c r="Q150" s="60"/>
      <c r="R150" s="60"/>
    </row>
    <row r="151" spans="1:18" s="10" customFormat="1" ht="15.75" hidden="1" customHeight="1" x14ac:dyDescent="0.3">
      <c r="A151" s="50" t="s">
        <v>169</v>
      </c>
      <c r="B151" s="34" t="s">
        <v>26</v>
      </c>
      <c r="C151" s="130">
        <f>586100-140300+5938+33808+191057</f>
        <v>676603</v>
      </c>
      <c r="D151" s="38">
        <f>425000-136000</f>
        <v>289000</v>
      </c>
      <c r="E151" s="38"/>
      <c r="F151" s="38"/>
      <c r="G151" s="38"/>
      <c r="H151" s="38"/>
      <c r="I151" s="130">
        <f>651474+108146</f>
        <v>759620</v>
      </c>
      <c r="J151" s="38">
        <v>631471</v>
      </c>
      <c r="K151" s="38"/>
      <c r="L151" s="130">
        <v>210</v>
      </c>
      <c r="M151" s="38"/>
      <c r="N151" s="38"/>
      <c r="O151" s="28">
        <f t="shared" si="29"/>
        <v>1436433</v>
      </c>
      <c r="P151" s="59"/>
      <c r="Q151" s="60"/>
      <c r="R151" s="60"/>
    </row>
    <row r="152" spans="1:18" s="10" customFormat="1" ht="15.75" customHeight="1" x14ac:dyDescent="0.3">
      <c r="A152" s="39" t="s">
        <v>132</v>
      </c>
      <c r="B152" s="51" t="s">
        <v>290</v>
      </c>
      <c r="C152" s="129">
        <f>503600+20721+39248+718</f>
        <v>564287</v>
      </c>
      <c r="D152" s="129">
        <v>385000</v>
      </c>
      <c r="E152" s="129"/>
      <c r="F152" s="129">
        <f>1434</f>
        <v>1434</v>
      </c>
      <c r="G152" s="39"/>
      <c r="H152" s="39"/>
      <c r="I152" s="39">
        <v>1713935</v>
      </c>
      <c r="J152" s="39">
        <v>1645255</v>
      </c>
      <c r="K152" s="39"/>
      <c r="L152" s="129">
        <f>2700+22000</f>
        <v>24700</v>
      </c>
      <c r="M152" s="39"/>
      <c r="N152" s="39"/>
      <c r="O152" s="28">
        <f>C152+F152+I152+L152</f>
        <v>2304356</v>
      </c>
      <c r="P152" s="59"/>
      <c r="Q152" s="60"/>
      <c r="R152" s="60"/>
    </row>
    <row r="153" spans="1:18" s="10" customFormat="1" ht="15.75" customHeight="1" x14ac:dyDescent="0.3">
      <c r="A153" s="39" t="s">
        <v>133</v>
      </c>
      <c r="B153" s="136" t="s">
        <v>573</v>
      </c>
      <c r="C153" s="129">
        <f>471200+6363+48638+511+303116</f>
        <v>829828</v>
      </c>
      <c r="D153" s="129">
        <v>363000</v>
      </c>
      <c r="E153" s="129"/>
      <c r="F153" s="129">
        <f>1022</f>
        <v>1022</v>
      </c>
      <c r="G153" s="39"/>
      <c r="H153" s="39"/>
      <c r="I153" s="129">
        <f>838749+231911</f>
        <v>1070660</v>
      </c>
      <c r="J153" s="39">
        <v>807070</v>
      </c>
      <c r="K153" s="39"/>
      <c r="L153" s="129">
        <f>4000+4456+8000</f>
        <v>16456</v>
      </c>
      <c r="M153" s="39"/>
      <c r="N153" s="39"/>
      <c r="O153" s="28">
        <f>C153+F153+I153+L153</f>
        <v>1917966</v>
      </c>
      <c r="P153" s="59"/>
      <c r="Q153" s="60"/>
      <c r="R153" s="60"/>
    </row>
    <row r="154" spans="1:18" s="10" customFormat="1" ht="15.6" x14ac:dyDescent="0.3">
      <c r="A154" s="39" t="s">
        <v>134</v>
      </c>
      <c r="B154" s="51" t="s">
        <v>575</v>
      </c>
      <c r="C154" s="129">
        <f>C155+C156</f>
        <v>267868</v>
      </c>
      <c r="D154" s="39">
        <f t="shared" ref="D154:N154" si="32">D155+D156</f>
        <v>284000</v>
      </c>
      <c r="E154" s="39">
        <f t="shared" si="32"/>
        <v>0</v>
      </c>
      <c r="F154" s="39">
        <f t="shared" si="32"/>
        <v>0</v>
      </c>
      <c r="G154" s="39">
        <f t="shared" si="32"/>
        <v>0</v>
      </c>
      <c r="H154" s="39">
        <f t="shared" si="32"/>
        <v>0</v>
      </c>
      <c r="I154" s="129">
        <f t="shared" si="32"/>
        <v>430994</v>
      </c>
      <c r="J154" s="39">
        <f>J155+J156</f>
        <v>525181</v>
      </c>
      <c r="K154" s="39">
        <f t="shared" si="32"/>
        <v>0</v>
      </c>
      <c r="L154" s="129">
        <f t="shared" si="32"/>
        <v>6227</v>
      </c>
      <c r="M154" s="39">
        <f t="shared" si="32"/>
        <v>0</v>
      </c>
      <c r="N154" s="39">
        <f t="shared" si="32"/>
        <v>0</v>
      </c>
      <c r="O154" s="28">
        <f t="shared" si="29"/>
        <v>705089</v>
      </c>
      <c r="P154" s="59"/>
      <c r="Q154" s="60"/>
      <c r="R154" s="60"/>
    </row>
    <row r="155" spans="1:18" s="10" customFormat="1" ht="15.75" hidden="1" customHeight="1" x14ac:dyDescent="0.3">
      <c r="A155" s="102" t="s">
        <v>311</v>
      </c>
      <c r="B155" s="34" t="s">
        <v>27</v>
      </c>
      <c r="C155" s="130">
        <f>78300+3241-24823</f>
        <v>56718</v>
      </c>
      <c r="D155" s="38">
        <v>75900</v>
      </c>
      <c r="E155" s="38"/>
      <c r="F155" s="38"/>
      <c r="G155" s="38"/>
      <c r="H155" s="38"/>
      <c r="I155" s="130">
        <f>44000-15081</f>
        <v>28919</v>
      </c>
      <c r="J155" s="38">
        <v>42120</v>
      </c>
      <c r="K155" s="38"/>
      <c r="L155" s="130">
        <f>11100-4963</f>
        <v>6137</v>
      </c>
      <c r="M155" s="38"/>
      <c r="N155" s="38"/>
      <c r="O155" s="28">
        <f t="shared" si="29"/>
        <v>91774</v>
      </c>
      <c r="P155" s="59"/>
      <c r="Q155" s="60"/>
      <c r="R155" s="60"/>
    </row>
    <row r="156" spans="1:18" s="10" customFormat="1" ht="15.75" hidden="1" customHeight="1" x14ac:dyDescent="0.3">
      <c r="A156" s="50" t="s">
        <v>312</v>
      </c>
      <c r="B156" s="34" t="s">
        <v>26</v>
      </c>
      <c r="C156" s="130">
        <f>356400-78300+8729+12490-88169</f>
        <v>211150</v>
      </c>
      <c r="D156" s="38">
        <f>284000-75900</f>
        <v>208100</v>
      </c>
      <c r="E156" s="38"/>
      <c r="F156" s="38"/>
      <c r="G156" s="38"/>
      <c r="H156" s="38"/>
      <c r="I156" s="130">
        <f>495487-93412</f>
        <v>402075</v>
      </c>
      <c r="J156" s="38">
        <v>483061</v>
      </c>
      <c r="K156" s="38"/>
      <c r="L156" s="130">
        <f>300-210</f>
        <v>90</v>
      </c>
      <c r="M156" s="38"/>
      <c r="N156" s="38"/>
      <c r="O156" s="28">
        <f t="shared" si="29"/>
        <v>613315</v>
      </c>
      <c r="P156" s="59"/>
      <c r="Q156" s="60"/>
      <c r="R156" s="60"/>
    </row>
    <row r="157" spans="1:18" s="10" customFormat="1" ht="31.5" customHeight="1" x14ac:dyDescent="0.3">
      <c r="A157" s="39" t="s">
        <v>135</v>
      </c>
      <c r="B157" s="51" t="s">
        <v>576</v>
      </c>
      <c r="C157" s="129">
        <f>C158+C159</f>
        <v>220216</v>
      </c>
      <c r="D157" s="39">
        <f>D158+D159</f>
        <v>300751</v>
      </c>
      <c r="E157" s="39">
        <f t="shared" ref="E157:N157" si="33">E158+E159</f>
        <v>0</v>
      </c>
      <c r="F157" s="39">
        <f t="shared" si="33"/>
        <v>0</v>
      </c>
      <c r="G157" s="39">
        <f t="shared" si="33"/>
        <v>0</v>
      </c>
      <c r="H157" s="39">
        <f t="shared" si="33"/>
        <v>0</v>
      </c>
      <c r="I157" s="129">
        <f t="shared" si="33"/>
        <v>248936</v>
      </c>
      <c r="J157" s="39">
        <f>J158+J159</f>
        <v>273472</v>
      </c>
      <c r="K157" s="39">
        <f t="shared" si="33"/>
        <v>0</v>
      </c>
      <c r="L157" s="129">
        <f t="shared" si="33"/>
        <v>11168</v>
      </c>
      <c r="M157" s="39">
        <f t="shared" si="33"/>
        <v>0</v>
      </c>
      <c r="N157" s="39">
        <f t="shared" si="33"/>
        <v>0</v>
      </c>
      <c r="O157" s="28">
        <f>C157+F157+I157+L157</f>
        <v>480320</v>
      </c>
      <c r="P157" s="59"/>
      <c r="Q157" s="60"/>
      <c r="R157" s="60"/>
    </row>
    <row r="158" spans="1:18" s="10" customFormat="1" ht="15.75" hidden="1" customHeight="1" x14ac:dyDescent="0.3">
      <c r="A158" s="103" t="s">
        <v>196</v>
      </c>
      <c r="B158" s="34" t="s">
        <v>27</v>
      </c>
      <c r="C158" s="130">
        <f>87000+3764-29364</f>
        <v>61400</v>
      </c>
      <c r="D158" s="38">
        <v>83000</v>
      </c>
      <c r="E158" s="38"/>
      <c r="F158" s="38"/>
      <c r="G158" s="38"/>
      <c r="H158" s="38"/>
      <c r="I158" s="130">
        <f>50285-17342</f>
        <v>32943</v>
      </c>
      <c r="J158" s="38">
        <v>48360</v>
      </c>
      <c r="K158" s="38"/>
      <c r="L158" s="130">
        <f>21500-11652</f>
        <v>9848</v>
      </c>
      <c r="M158" s="38"/>
      <c r="N158" s="38"/>
      <c r="O158" s="28">
        <f>C158+F158+I158+L158</f>
        <v>104191</v>
      </c>
      <c r="P158" s="59"/>
      <c r="Q158" s="60"/>
      <c r="R158" s="60"/>
    </row>
    <row r="159" spans="1:18" s="10" customFormat="1" ht="15.75" hidden="1" customHeight="1" x14ac:dyDescent="0.3">
      <c r="A159" s="50" t="s">
        <v>197</v>
      </c>
      <c r="B159" s="34" t="s">
        <v>26</v>
      </c>
      <c r="C159" s="130">
        <f>343900+3804-87000+1000-102888</f>
        <v>158816</v>
      </c>
      <c r="D159" s="38">
        <f>297000+3751-83000</f>
        <v>217751</v>
      </c>
      <c r="E159" s="38"/>
      <c r="F159" s="38"/>
      <c r="G159" s="38"/>
      <c r="H159" s="38"/>
      <c r="I159" s="130">
        <f>230727-14734</f>
        <v>215993</v>
      </c>
      <c r="J159" s="38">
        <v>225112</v>
      </c>
      <c r="K159" s="38"/>
      <c r="L159" s="130">
        <v>1320</v>
      </c>
      <c r="M159" s="38"/>
      <c r="N159" s="38"/>
      <c r="O159" s="28">
        <f>C159+F159+I159+L159</f>
        <v>376129</v>
      </c>
      <c r="P159" s="59"/>
      <c r="Q159" s="60"/>
      <c r="R159" s="60"/>
    </row>
    <row r="160" spans="1:18" s="10" customFormat="1" ht="30" customHeight="1" x14ac:dyDescent="0.3">
      <c r="A160" s="39" t="s">
        <v>136</v>
      </c>
      <c r="B160" s="51" t="s">
        <v>577</v>
      </c>
      <c r="C160" s="39">
        <f>C161+C162</f>
        <v>476651</v>
      </c>
      <c r="D160" s="39">
        <f>D161+D162</f>
        <v>377000</v>
      </c>
      <c r="E160" s="39">
        <f t="shared" ref="E160:N160" si="34">E161+E162</f>
        <v>0</v>
      </c>
      <c r="F160" s="39">
        <f t="shared" si="34"/>
        <v>23518</v>
      </c>
      <c r="G160" s="39">
        <f t="shared" si="34"/>
        <v>5850</v>
      </c>
      <c r="H160" s="39">
        <f t="shared" si="34"/>
        <v>0</v>
      </c>
      <c r="I160" s="39">
        <f t="shared" si="34"/>
        <v>731498</v>
      </c>
      <c r="J160" s="39">
        <f>J161+J162</f>
        <v>706878</v>
      </c>
      <c r="K160" s="39">
        <f t="shared" si="34"/>
        <v>0</v>
      </c>
      <c r="L160" s="129">
        <f>L161+L162+1200</f>
        <v>29700</v>
      </c>
      <c r="M160" s="39">
        <f t="shared" si="34"/>
        <v>0</v>
      </c>
      <c r="N160" s="39">
        <f t="shared" si="34"/>
        <v>0</v>
      </c>
      <c r="O160" s="28">
        <f t="shared" si="29"/>
        <v>1261367</v>
      </c>
      <c r="P160" s="59"/>
      <c r="Q160" s="60"/>
      <c r="R160" s="60"/>
    </row>
    <row r="161" spans="1:18" s="10" customFormat="1" ht="15.75" hidden="1" customHeight="1" x14ac:dyDescent="0.3">
      <c r="A161" s="103" t="s">
        <v>291</v>
      </c>
      <c r="B161" s="34" t="s">
        <v>27</v>
      </c>
      <c r="C161" s="38">
        <f>165300+2657</f>
        <v>167957</v>
      </c>
      <c r="D161" s="38">
        <f>160000</f>
        <v>160000</v>
      </c>
      <c r="E161" s="38"/>
      <c r="F161" s="38">
        <f>22798+720</f>
        <v>23518</v>
      </c>
      <c r="G161" s="38">
        <f>5850</f>
        <v>5850</v>
      </c>
      <c r="H161" s="38"/>
      <c r="I161" s="38">
        <v>159553</v>
      </c>
      <c r="J161" s="38">
        <v>154502</v>
      </c>
      <c r="K161" s="38"/>
      <c r="L161" s="38">
        <v>28500</v>
      </c>
      <c r="M161" s="38"/>
      <c r="N161" s="38"/>
      <c r="O161" s="28">
        <f t="shared" si="29"/>
        <v>379528</v>
      </c>
      <c r="P161" s="59"/>
      <c r="Q161" s="60"/>
      <c r="R161" s="60"/>
    </row>
    <row r="162" spans="1:18" s="10" customFormat="1" ht="15.75" hidden="1" customHeight="1" x14ac:dyDescent="0.3">
      <c r="A162" s="50" t="s">
        <v>292</v>
      </c>
      <c r="B162" s="34" t="s">
        <v>26</v>
      </c>
      <c r="C162" s="38">
        <f>449400-165300+17080+7514</f>
        <v>308694</v>
      </c>
      <c r="D162" s="38">
        <f>377000-160000</f>
        <v>217000</v>
      </c>
      <c r="E162" s="38"/>
      <c r="F162" s="38"/>
      <c r="G162" s="38"/>
      <c r="H162" s="38"/>
      <c r="I162" s="38">
        <v>571945</v>
      </c>
      <c r="J162" s="38">
        <v>552376</v>
      </c>
      <c r="K162" s="38"/>
      <c r="L162" s="38"/>
      <c r="M162" s="38"/>
      <c r="N162" s="38"/>
      <c r="O162" s="28">
        <f t="shared" si="29"/>
        <v>880639</v>
      </c>
      <c r="P162" s="59"/>
      <c r="Q162" s="60"/>
      <c r="R162" s="60"/>
    </row>
    <row r="163" spans="1:18" s="10" customFormat="1" ht="30.75" customHeight="1" x14ac:dyDescent="0.3">
      <c r="A163" s="39" t="s">
        <v>137</v>
      </c>
      <c r="B163" s="51" t="s">
        <v>578</v>
      </c>
      <c r="C163" s="129">
        <f>C164+C165</f>
        <v>259511</v>
      </c>
      <c r="D163" s="39">
        <f t="shared" ref="D163:L163" si="35">D164+D165</f>
        <v>342000</v>
      </c>
      <c r="E163" s="39">
        <f t="shared" si="35"/>
        <v>0</v>
      </c>
      <c r="F163" s="39">
        <f t="shared" si="35"/>
        <v>1440</v>
      </c>
      <c r="G163" s="39">
        <f t="shared" si="35"/>
        <v>0</v>
      </c>
      <c r="H163" s="39">
        <f t="shared" si="35"/>
        <v>0</v>
      </c>
      <c r="I163" s="129">
        <f t="shared" si="35"/>
        <v>354071</v>
      </c>
      <c r="J163" s="39">
        <f>J164+J165</f>
        <v>460148</v>
      </c>
      <c r="K163" s="39">
        <f t="shared" si="35"/>
        <v>0</v>
      </c>
      <c r="L163" s="129">
        <f t="shared" si="35"/>
        <v>8541</v>
      </c>
      <c r="M163" s="39">
        <f>M164+M165</f>
        <v>0</v>
      </c>
      <c r="N163" s="39">
        <f>N164+N165</f>
        <v>0</v>
      </c>
      <c r="O163" s="28">
        <f t="shared" si="29"/>
        <v>623563</v>
      </c>
      <c r="P163" s="59"/>
      <c r="Q163" s="60"/>
      <c r="R163" s="60"/>
    </row>
    <row r="164" spans="1:18" s="10" customFormat="1" ht="15.75" hidden="1" customHeight="1" x14ac:dyDescent="0.3">
      <c r="A164" s="103" t="s">
        <v>170</v>
      </c>
      <c r="B164" s="34" t="s">
        <v>27</v>
      </c>
      <c r="C164" s="130">
        <f>124700-46331</f>
        <v>78369</v>
      </c>
      <c r="D164" s="38">
        <f>120500</f>
        <v>120500</v>
      </c>
      <c r="E164" s="38"/>
      <c r="F164" s="38">
        <v>1440</v>
      </c>
      <c r="G164" s="38"/>
      <c r="H164" s="38"/>
      <c r="I164" s="130">
        <f>31614-12190</f>
        <v>19424</v>
      </c>
      <c r="J164" s="38">
        <v>30000</v>
      </c>
      <c r="K164" s="38"/>
      <c r="L164" s="130">
        <f>10960-2419</f>
        <v>8541</v>
      </c>
      <c r="M164" s="38"/>
      <c r="N164" s="38"/>
      <c r="O164" s="28">
        <f t="shared" si="29"/>
        <v>107774</v>
      </c>
      <c r="P164" s="59"/>
      <c r="Q164" s="60"/>
      <c r="R164" s="60"/>
    </row>
    <row r="165" spans="1:18" s="10" customFormat="1" ht="15.75" hidden="1" customHeight="1" x14ac:dyDescent="0.3">
      <c r="A165" s="50" t="s">
        <v>171</v>
      </c>
      <c r="B165" s="34" t="s">
        <v>26</v>
      </c>
      <c r="C165" s="130">
        <f>430900-124700+3500+6885-135443</f>
        <v>181142</v>
      </c>
      <c r="D165" s="38">
        <f>342000-120500</f>
        <v>221500</v>
      </c>
      <c r="E165" s="38"/>
      <c r="F165" s="38"/>
      <c r="G165" s="38"/>
      <c r="H165" s="38"/>
      <c r="I165" s="130">
        <f>442267-107620</f>
        <v>334647</v>
      </c>
      <c r="J165" s="38">
        <v>430148</v>
      </c>
      <c r="K165" s="38"/>
      <c r="L165" s="38"/>
      <c r="M165" s="38"/>
      <c r="N165" s="38"/>
      <c r="O165" s="28">
        <f t="shared" si="29"/>
        <v>515789</v>
      </c>
      <c r="P165" s="59"/>
      <c r="Q165" s="60"/>
      <c r="R165" s="60"/>
    </row>
    <row r="166" spans="1:18" s="10" customFormat="1" ht="15.6" x14ac:dyDescent="0.3">
      <c r="A166" s="39" t="s">
        <v>138</v>
      </c>
      <c r="B166" s="51" t="s">
        <v>579</v>
      </c>
      <c r="C166" s="39">
        <f>C167+C168</f>
        <v>437813</v>
      </c>
      <c r="D166" s="39">
        <f t="shared" ref="D166:K166" si="36">D167+D168</f>
        <v>311000</v>
      </c>
      <c r="E166" s="39">
        <f t="shared" si="36"/>
        <v>0</v>
      </c>
      <c r="F166" s="39">
        <f t="shared" si="36"/>
        <v>11399</v>
      </c>
      <c r="G166" s="39">
        <f t="shared" si="36"/>
        <v>6765</v>
      </c>
      <c r="H166" s="39">
        <f t="shared" si="36"/>
        <v>0</v>
      </c>
      <c r="I166" s="39">
        <f t="shared" si="36"/>
        <v>588128</v>
      </c>
      <c r="J166" s="39">
        <f>J167+J168</f>
        <v>571002</v>
      </c>
      <c r="K166" s="39">
        <f t="shared" si="36"/>
        <v>0</v>
      </c>
      <c r="L166" s="129">
        <f>L167+L168+1220</f>
        <v>13330</v>
      </c>
      <c r="M166" s="39">
        <f>M167+M168</f>
        <v>0</v>
      </c>
      <c r="N166" s="39">
        <f>N167+N168</f>
        <v>0</v>
      </c>
      <c r="O166" s="28">
        <f t="shared" si="29"/>
        <v>1050670</v>
      </c>
      <c r="P166" s="59"/>
      <c r="Q166" s="60"/>
      <c r="R166" s="60"/>
    </row>
    <row r="167" spans="1:18" s="10" customFormat="1" ht="15.75" hidden="1" customHeight="1" x14ac:dyDescent="0.3">
      <c r="A167" s="50" t="s">
        <v>190</v>
      </c>
      <c r="B167" s="34" t="s">
        <v>27</v>
      </c>
      <c r="C167" s="38">
        <f>118700+6396</f>
        <v>125096</v>
      </c>
      <c r="D167" s="38">
        <f>115700</f>
        <v>115700</v>
      </c>
      <c r="E167" s="38"/>
      <c r="F167" s="38">
        <f>11399</f>
        <v>11399</v>
      </c>
      <c r="G167" s="38">
        <f>6765</f>
        <v>6765</v>
      </c>
      <c r="H167" s="38"/>
      <c r="I167" s="38">
        <v>75359</v>
      </c>
      <c r="J167" s="38">
        <v>73075</v>
      </c>
      <c r="K167" s="38"/>
      <c r="L167" s="38">
        <v>12110</v>
      </c>
      <c r="M167" s="38"/>
      <c r="N167" s="38"/>
      <c r="O167" s="28">
        <f t="shared" si="29"/>
        <v>223964</v>
      </c>
      <c r="P167" s="59"/>
      <c r="Q167" s="60"/>
      <c r="R167" s="60"/>
    </row>
    <row r="168" spans="1:18" s="10" customFormat="1" ht="15.75" hidden="1" customHeight="1" x14ac:dyDescent="0.3">
      <c r="A168" s="50" t="s">
        <v>191</v>
      </c>
      <c r="B168" s="34" t="s">
        <v>26</v>
      </c>
      <c r="C168" s="38">
        <f>402300-118700+13376+15741</f>
        <v>312717</v>
      </c>
      <c r="D168" s="38">
        <f>311000-115700</f>
        <v>195300</v>
      </c>
      <c r="E168" s="38"/>
      <c r="F168" s="38"/>
      <c r="G168" s="38"/>
      <c r="H168" s="38"/>
      <c r="I168" s="38">
        <v>512769</v>
      </c>
      <c r="J168" s="38">
        <v>497927</v>
      </c>
      <c r="K168" s="38"/>
      <c r="L168" s="38"/>
      <c r="M168" s="38"/>
      <c r="N168" s="38"/>
      <c r="O168" s="28">
        <f t="shared" si="29"/>
        <v>825486</v>
      </c>
      <c r="P168" s="59"/>
      <c r="Q168" s="60"/>
      <c r="R168" s="60"/>
    </row>
    <row r="169" spans="1:18" s="10" customFormat="1" ht="15.75" customHeight="1" x14ac:dyDescent="0.3">
      <c r="A169" s="39" t="s">
        <v>139</v>
      </c>
      <c r="B169" s="107" t="s">
        <v>580</v>
      </c>
      <c r="C169" s="129">
        <f>C170+C171</f>
        <v>258406</v>
      </c>
      <c r="D169" s="39">
        <f t="shared" ref="D169:N169" si="37">D170+D171</f>
        <v>294000</v>
      </c>
      <c r="E169" s="39">
        <f t="shared" si="37"/>
        <v>0</v>
      </c>
      <c r="F169" s="39">
        <f t="shared" si="37"/>
        <v>0</v>
      </c>
      <c r="G169" s="39">
        <f t="shared" si="37"/>
        <v>0</v>
      </c>
      <c r="H169" s="39">
        <f t="shared" si="37"/>
        <v>0</v>
      </c>
      <c r="I169" s="129">
        <f t="shared" si="37"/>
        <v>277116</v>
      </c>
      <c r="J169" s="39">
        <f>J170+J171</f>
        <v>378466</v>
      </c>
      <c r="K169" s="39">
        <f t="shared" si="37"/>
        <v>0</v>
      </c>
      <c r="L169" s="129">
        <f t="shared" si="37"/>
        <v>11843</v>
      </c>
      <c r="M169" s="39">
        <f t="shared" si="37"/>
        <v>0</v>
      </c>
      <c r="N169" s="39">
        <f t="shared" si="37"/>
        <v>0</v>
      </c>
      <c r="O169" s="28">
        <f t="shared" si="29"/>
        <v>547365</v>
      </c>
      <c r="P169" s="59"/>
      <c r="Q169" s="60"/>
      <c r="R169" s="60"/>
    </row>
    <row r="170" spans="1:18" s="10" customFormat="1" ht="15.75" hidden="1" customHeight="1" x14ac:dyDescent="0.3">
      <c r="A170" s="50" t="s">
        <v>82</v>
      </c>
      <c r="B170" s="34" t="s">
        <v>27</v>
      </c>
      <c r="C170" s="130">
        <f>138700+1848-57136</f>
        <v>83412</v>
      </c>
      <c r="D170" s="38">
        <v>136000</v>
      </c>
      <c r="E170" s="38"/>
      <c r="F170" s="38"/>
      <c r="G170" s="38"/>
      <c r="H170" s="38"/>
      <c r="I170" s="130">
        <f>73991-22176</f>
        <v>51815</v>
      </c>
      <c r="J170" s="38">
        <v>71905</v>
      </c>
      <c r="K170" s="38"/>
      <c r="L170" s="130">
        <f>13880-2037</f>
        <v>11843</v>
      </c>
      <c r="M170" s="38"/>
      <c r="N170" s="38"/>
      <c r="O170" s="28">
        <f t="shared" si="29"/>
        <v>147070</v>
      </c>
      <c r="P170" s="59"/>
      <c r="Q170" s="60"/>
      <c r="R170" s="60"/>
    </row>
    <row r="171" spans="1:18" s="10" customFormat="1" ht="15.75" hidden="1" customHeight="1" x14ac:dyDescent="0.3">
      <c r="A171" s="50" t="s">
        <v>83</v>
      </c>
      <c r="B171" s="34" t="s">
        <v>26</v>
      </c>
      <c r="C171" s="130">
        <f>356100-138700+10749+11051-64206</f>
        <v>174994</v>
      </c>
      <c r="D171" s="38">
        <f>294000-136000</f>
        <v>158000</v>
      </c>
      <c r="E171" s="38"/>
      <c r="F171" s="38"/>
      <c r="G171" s="38"/>
      <c r="H171" s="38"/>
      <c r="I171" s="130">
        <f>315226-89925</f>
        <v>225301</v>
      </c>
      <c r="J171" s="38">
        <v>306561</v>
      </c>
      <c r="K171" s="38"/>
      <c r="L171" s="38"/>
      <c r="M171" s="38"/>
      <c r="N171" s="38"/>
      <c r="O171" s="28">
        <f t="shared" si="29"/>
        <v>400295</v>
      </c>
      <c r="P171" s="59"/>
      <c r="Q171" s="60"/>
      <c r="R171" s="60"/>
    </row>
    <row r="172" spans="1:18" s="10" customFormat="1" ht="15.75" customHeight="1" x14ac:dyDescent="0.3">
      <c r="A172" s="39" t="s">
        <v>140</v>
      </c>
      <c r="B172" s="101" t="s">
        <v>581</v>
      </c>
      <c r="C172" s="129">
        <f>C173+C174</f>
        <v>571879</v>
      </c>
      <c r="D172" s="129">
        <f t="shared" ref="D172:K172" si="38">D173+D174</f>
        <v>491000</v>
      </c>
      <c r="E172" s="129">
        <f t="shared" si="38"/>
        <v>0</v>
      </c>
      <c r="F172" s="129">
        <f t="shared" si="38"/>
        <v>19001</v>
      </c>
      <c r="G172" s="39">
        <f t="shared" si="38"/>
        <v>8000</v>
      </c>
      <c r="H172" s="39">
        <f t="shared" si="38"/>
        <v>0</v>
      </c>
      <c r="I172" s="39">
        <f t="shared" si="38"/>
        <v>438663</v>
      </c>
      <c r="J172" s="39">
        <f>J173+J174</f>
        <v>423456</v>
      </c>
      <c r="K172" s="39">
        <f t="shared" si="38"/>
        <v>0</v>
      </c>
      <c r="L172" s="39">
        <f>L173+L174</f>
        <v>59080</v>
      </c>
      <c r="M172" s="39">
        <f>M173+M174</f>
        <v>0</v>
      </c>
      <c r="N172" s="39">
        <f>N173+N174</f>
        <v>0</v>
      </c>
      <c r="O172" s="28">
        <f t="shared" si="29"/>
        <v>1088623</v>
      </c>
      <c r="P172" s="59"/>
      <c r="Q172" s="60"/>
      <c r="R172" s="60"/>
    </row>
    <row r="173" spans="1:18" s="10" customFormat="1" ht="15.75" hidden="1" customHeight="1" x14ac:dyDescent="0.3">
      <c r="A173" s="50" t="s">
        <v>85</v>
      </c>
      <c r="B173" s="34" t="s">
        <v>27</v>
      </c>
      <c r="C173" s="38">
        <f>560800-62600+9916+342</f>
        <v>508458</v>
      </c>
      <c r="D173" s="38">
        <f>491000-49000</f>
        <v>442000</v>
      </c>
      <c r="E173" s="38"/>
      <c r="F173" s="38">
        <f>15199+2160</f>
        <v>17359</v>
      </c>
      <c r="G173" s="38">
        <f>8000</f>
        <v>8000</v>
      </c>
      <c r="H173" s="38"/>
      <c r="I173" s="38">
        <v>269865</v>
      </c>
      <c r="J173" s="38">
        <v>261682</v>
      </c>
      <c r="K173" s="38"/>
      <c r="L173" s="38">
        <v>55620</v>
      </c>
      <c r="M173" s="38"/>
      <c r="N173" s="38"/>
      <c r="O173" s="28">
        <f t="shared" si="29"/>
        <v>851302</v>
      </c>
      <c r="P173" s="59"/>
      <c r="Q173" s="60"/>
      <c r="R173" s="60"/>
    </row>
    <row r="174" spans="1:18" s="10" customFormat="1" ht="15.75" hidden="1" customHeight="1" x14ac:dyDescent="0.3">
      <c r="A174" s="50" t="s">
        <v>86</v>
      </c>
      <c r="B174" s="34" t="s">
        <v>26</v>
      </c>
      <c r="C174" s="130">
        <f>62600+821</f>
        <v>63421</v>
      </c>
      <c r="D174" s="130">
        <v>49000</v>
      </c>
      <c r="E174" s="130"/>
      <c r="F174" s="130">
        <f>1642</f>
        <v>1642</v>
      </c>
      <c r="G174" s="38"/>
      <c r="H174" s="38"/>
      <c r="I174" s="38">
        <v>168798</v>
      </c>
      <c r="J174" s="38">
        <v>161774</v>
      </c>
      <c r="K174" s="38"/>
      <c r="L174" s="38">
        <v>3460</v>
      </c>
      <c r="M174" s="38"/>
      <c r="N174" s="38"/>
      <c r="O174" s="28">
        <f t="shared" si="29"/>
        <v>237321</v>
      </c>
      <c r="P174" s="59"/>
      <c r="Q174" s="60"/>
      <c r="R174" s="60"/>
    </row>
    <row r="175" spans="1:18" s="10" customFormat="1" ht="15.75" customHeight="1" x14ac:dyDescent="0.3">
      <c r="A175" s="39" t="s">
        <v>141</v>
      </c>
      <c r="B175" s="51" t="s">
        <v>582</v>
      </c>
      <c r="C175" s="129">
        <f t="shared" ref="C175:N175" si="39">C176+C177</f>
        <v>819282</v>
      </c>
      <c r="D175" s="129">
        <f t="shared" si="39"/>
        <v>737900</v>
      </c>
      <c r="E175" s="129">
        <f t="shared" si="39"/>
        <v>0</v>
      </c>
      <c r="F175" s="129">
        <f t="shared" si="39"/>
        <v>26051</v>
      </c>
      <c r="G175" s="39">
        <f t="shared" si="39"/>
        <v>2215</v>
      </c>
      <c r="H175" s="39">
        <f t="shared" si="39"/>
        <v>0</v>
      </c>
      <c r="I175" s="39">
        <f t="shared" si="39"/>
        <v>568246</v>
      </c>
      <c r="J175" s="39">
        <f t="shared" si="39"/>
        <v>550295</v>
      </c>
      <c r="K175" s="39">
        <f t="shared" si="39"/>
        <v>0</v>
      </c>
      <c r="L175" s="39">
        <f t="shared" si="39"/>
        <v>107060</v>
      </c>
      <c r="M175" s="39">
        <f t="shared" si="39"/>
        <v>0</v>
      </c>
      <c r="N175" s="39">
        <f t="shared" si="39"/>
        <v>0</v>
      </c>
      <c r="O175" s="28">
        <f>C175+F175+I175+L175</f>
        <v>1520639</v>
      </c>
      <c r="P175" s="59"/>
      <c r="Q175" s="60"/>
      <c r="R175" s="60"/>
    </row>
    <row r="176" spans="1:18" s="10" customFormat="1" ht="15.75" hidden="1" customHeight="1" x14ac:dyDescent="0.3">
      <c r="A176" s="50" t="s">
        <v>293</v>
      </c>
      <c r="B176" s="34" t="s">
        <v>27</v>
      </c>
      <c r="C176" s="130">
        <f>830600-16000-35510+3356+1326</f>
        <v>783772</v>
      </c>
      <c r="D176" s="130">
        <f>737900-35000</f>
        <v>702900</v>
      </c>
      <c r="E176" s="130"/>
      <c r="F176" s="130">
        <f>3800+16000+3600+2651</f>
        <v>26051</v>
      </c>
      <c r="G176" s="38">
        <f>2215</f>
        <v>2215</v>
      </c>
      <c r="H176" s="38"/>
      <c r="I176" s="38">
        <v>476217</v>
      </c>
      <c r="J176" s="38">
        <v>460304</v>
      </c>
      <c r="K176" s="39"/>
      <c r="L176" s="38">
        <f>1500+85100+20460</f>
        <v>107060</v>
      </c>
      <c r="M176" s="38"/>
      <c r="N176" s="38"/>
      <c r="O176" s="28">
        <f>C176+F176+I176+L176</f>
        <v>1393100</v>
      </c>
      <c r="P176" s="59"/>
      <c r="Q176" s="60"/>
      <c r="R176" s="60"/>
    </row>
    <row r="177" spans="1:18" s="10" customFormat="1" ht="15.75" hidden="1" customHeight="1" x14ac:dyDescent="0.3">
      <c r="A177" s="50" t="s">
        <v>294</v>
      </c>
      <c r="B177" s="34" t="s">
        <v>26</v>
      </c>
      <c r="C177" s="38">
        <v>35510</v>
      </c>
      <c r="D177" s="38">
        <v>35000</v>
      </c>
      <c r="E177" s="38"/>
      <c r="F177" s="38"/>
      <c r="G177" s="38"/>
      <c r="H177" s="38"/>
      <c r="I177" s="38">
        <v>92029</v>
      </c>
      <c r="J177" s="38">
        <v>89991</v>
      </c>
      <c r="K177" s="38"/>
      <c r="L177" s="38"/>
      <c r="M177" s="38"/>
      <c r="N177" s="38"/>
      <c r="O177" s="28">
        <f>C177+F177+I177+L177</f>
        <v>127539</v>
      </c>
      <c r="P177" s="59"/>
      <c r="Q177" s="60"/>
      <c r="R177" s="60"/>
    </row>
    <row r="178" spans="1:18" s="10" customFormat="1" ht="15.75" customHeight="1" x14ac:dyDescent="0.3">
      <c r="A178" s="39" t="s">
        <v>142</v>
      </c>
      <c r="B178" s="101" t="s">
        <v>18</v>
      </c>
      <c r="C178" s="39">
        <f>813000+5003</f>
        <v>818003</v>
      </c>
      <c r="D178" s="39">
        <v>734000</v>
      </c>
      <c r="E178" s="39"/>
      <c r="F178" s="39">
        <f>30397+720</f>
        <v>31117</v>
      </c>
      <c r="G178" s="39">
        <f>9956</f>
        <v>9956</v>
      </c>
      <c r="H178" s="39"/>
      <c r="I178" s="39">
        <v>520690</v>
      </c>
      <c r="J178" s="39">
        <v>503396</v>
      </c>
      <c r="K178" s="39"/>
      <c r="L178" s="39">
        <f>130+142130</f>
        <v>142260</v>
      </c>
      <c r="M178" s="39"/>
      <c r="N178" s="39"/>
      <c r="O178" s="28">
        <f t="shared" si="29"/>
        <v>1512070</v>
      </c>
      <c r="P178" s="59"/>
      <c r="Q178" s="60"/>
      <c r="R178" s="60"/>
    </row>
    <row r="179" spans="1:18" s="10" customFormat="1" ht="15.75" customHeight="1" x14ac:dyDescent="0.3">
      <c r="A179" s="39" t="s">
        <v>143</v>
      </c>
      <c r="B179" s="51" t="s">
        <v>36</v>
      </c>
      <c r="C179" s="39">
        <v>681300</v>
      </c>
      <c r="D179" s="39">
        <v>648000</v>
      </c>
      <c r="E179" s="39"/>
      <c r="F179" s="39"/>
      <c r="G179" s="39"/>
      <c r="H179" s="39"/>
      <c r="I179" s="39">
        <v>54900</v>
      </c>
      <c r="J179" s="39">
        <v>54115</v>
      </c>
      <c r="K179" s="39"/>
      <c r="L179" s="39">
        <v>53860</v>
      </c>
      <c r="M179" s="39">
        <v>23000</v>
      </c>
      <c r="N179" s="39"/>
      <c r="O179" s="28">
        <f t="shared" si="29"/>
        <v>790060</v>
      </c>
      <c r="P179" s="59"/>
      <c r="Q179" s="60"/>
      <c r="R179" s="60"/>
    </row>
    <row r="180" spans="1:18" s="10" customFormat="1" ht="30.75" customHeight="1" x14ac:dyDescent="0.3">
      <c r="A180" s="39" t="s">
        <v>144</v>
      </c>
      <c r="B180" s="51" t="s">
        <v>425</v>
      </c>
      <c r="C180" s="39">
        <v>183600</v>
      </c>
      <c r="D180" s="39">
        <v>152000</v>
      </c>
      <c r="E180" s="39"/>
      <c r="F180" s="39">
        <v>51979</v>
      </c>
      <c r="G180" s="39">
        <v>51237</v>
      </c>
      <c r="H180" s="39"/>
      <c r="I180" s="39">
        <v>116983</v>
      </c>
      <c r="J180" s="39">
        <v>115312</v>
      </c>
      <c r="K180" s="39"/>
      <c r="L180" s="39">
        <f>11170+23580</f>
        <v>34750</v>
      </c>
      <c r="M180" s="39">
        <v>1670</v>
      </c>
      <c r="N180" s="39"/>
      <c r="O180" s="28">
        <f t="shared" si="29"/>
        <v>387312</v>
      </c>
      <c r="P180" s="59"/>
      <c r="Q180" s="60"/>
      <c r="R180" s="60"/>
    </row>
    <row r="181" spans="1:18" s="12" customFormat="1" ht="18" customHeight="1" x14ac:dyDescent="0.3">
      <c r="A181" s="39" t="s">
        <v>145</v>
      </c>
      <c r="B181" s="43" t="s">
        <v>35</v>
      </c>
      <c r="C181" s="39">
        <f>SUM(C182:C193)</f>
        <v>709000</v>
      </c>
      <c r="D181" s="39">
        <f t="shared" ref="D181:N181" si="40">SUM(D182:D192)</f>
        <v>0</v>
      </c>
      <c r="E181" s="39">
        <f t="shared" si="40"/>
        <v>0</v>
      </c>
      <c r="F181" s="39">
        <f>SUM(F182:H193)</f>
        <v>657834</v>
      </c>
      <c r="G181" s="39">
        <f>SUM(G182:I193)</f>
        <v>195370</v>
      </c>
      <c r="H181" s="39">
        <f>SUM(H182:J193)</f>
        <v>390740</v>
      </c>
      <c r="I181" s="39">
        <f>SUM(I182:I193)</f>
        <v>195370</v>
      </c>
      <c r="J181" s="39">
        <f t="shared" si="40"/>
        <v>195370</v>
      </c>
      <c r="K181" s="39">
        <f t="shared" si="40"/>
        <v>0</v>
      </c>
      <c r="L181" s="39">
        <f t="shared" si="40"/>
        <v>0</v>
      </c>
      <c r="M181" s="39">
        <f t="shared" si="40"/>
        <v>0</v>
      </c>
      <c r="N181" s="39">
        <f t="shared" si="40"/>
        <v>0</v>
      </c>
      <c r="O181" s="28">
        <f>C181+F181+I181+L181</f>
        <v>1562204</v>
      </c>
      <c r="P181" s="59"/>
      <c r="Q181" s="60"/>
      <c r="R181" s="60"/>
    </row>
    <row r="182" spans="1:18" s="10" customFormat="1" ht="15" customHeight="1" x14ac:dyDescent="0.3">
      <c r="A182" s="50" t="s">
        <v>313</v>
      </c>
      <c r="B182" s="34" t="s">
        <v>32</v>
      </c>
      <c r="C182" s="130">
        <f>380000+166000</f>
        <v>546000</v>
      </c>
      <c r="D182" s="38"/>
      <c r="E182" s="38"/>
      <c r="F182" s="39"/>
      <c r="G182" s="38"/>
      <c r="H182" s="38"/>
      <c r="I182" s="39"/>
      <c r="J182" s="39"/>
      <c r="K182" s="38"/>
      <c r="L182" s="39"/>
      <c r="M182" s="38"/>
      <c r="N182" s="38"/>
      <c r="O182" s="28">
        <f t="shared" si="29"/>
        <v>546000</v>
      </c>
      <c r="P182" s="59"/>
      <c r="Q182" s="60"/>
      <c r="R182" s="60"/>
    </row>
    <row r="183" spans="1:18" s="10" customFormat="1" ht="28.5" customHeight="1" x14ac:dyDescent="0.3">
      <c r="A183" s="50" t="s">
        <v>314</v>
      </c>
      <c r="B183" s="34" t="s">
        <v>185</v>
      </c>
      <c r="C183" s="38">
        <v>14000</v>
      </c>
      <c r="D183" s="38"/>
      <c r="E183" s="38"/>
      <c r="F183" s="39"/>
      <c r="G183" s="38"/>
      <c r="H183" s="38"/>
      <c r="I183" s="39"/>
      <c r="J183" s="39"/>
      <c r="K183" s="38"/>
      <c r="L183" s="39"/>
      <c r="M183" s="38"/>
      <c r="N183" s="38"/>
      <c r="O183" s="28">
        <f t="shared" si="29"/>
        <v>14000</v>
      </c>
      <c r="P183" s="59"/>
      <c r="Q183" s="60"/>
      <c r="R183" s="60"/>
    </row>
    <row r="184" spans="1:18" s="13" customFormat="1" ht="27.75" customHeight="1" x14ac:dyDescent="0.25">
      <c r="A184" s="50" t="s">
        <v>315</v>
      </c>
      <c r="B184" s="34" t="s">
        <v>153</v>
      </c>
      <c r="C184" s="38">
        <v>9000</v>
      </c>
      <c r="D184" s="38"/>
      <c r="E184" s="40"/>
      <c r="F184" s="41"/>
      <c r="G184" s="40"/>
      <c r="H184" s="40"/>
      <c r="I184" s="41"/>
      <c r="J184" s="41"/>
      <c r="K184" s="40"/>
      <c r="L184" s="41"/>
      <c r="M184" s="40"/>
      <c r="N184" s="40"/>
      <c r="O184" s="28">
        <f t="shared" si="29"/>
        <v>9000</v>
      </c>
      <c r="P184" s="59"/>
      <c r="Q184" s="62"/>
      <c r="R184" s="62"/>
    </row>
    <row r="185" spans="1:18" s="13" customFormat="1" ht="17.25" customHeight="1" x14ac:dyDescent="0.25">
      <c r="A185" s="50" t="s">
        <v>316</v>
      </c>
      <c r="B185" s="34" t="s">
        <v>198</v>
      </c>
      <c r="C185" s="38"/>
      <c r="D185" s="38"/>
      <c r="E185" s="40"/>
      <c r="F185" s="38">
        <f>142200-4060</f>
        <v>138140</v>
      </c>
      <c r="G185" s="40"/>
      <c r="H185" s="40"/>
      <c r="I185" s="41"/>
      <c r="J185" s="41"/>
      <c r="K185" s="40"/>
      <c r="L185" s="41"/>
      <c r="M185" s="40"/>
      <c r="N185" s="40"/>
      <c r="O185" s="28">
        <f t="shared" si="29"/>
        <v>138140</v>
      </c>
      <c r="P185" s="59"/>
      <c r="Q185" s="62"/>
      <c r="R185" s="62"/>
    </row>
    <row r="186" spans="1:18" s="10" customFormat="1" ht="29.25" customHeight="1" x14ac:dyDescent="0.3">
      <c r="A186" s="54" t="s">
        <v>317</v>
      </c>
      <c r="B186" s="34" t="s">
        <v>369</v>
      </c>
      <c r="C186" s="38">
        <v>12000</v>
      </c>
      <c r="D186" s="38"/>
      <c r="E186" s="38"/>
      <c r="F186" s="38"/>
      <c r="G186" s="38"/>
      <c r="H186" s="38"/>
      <c r="I186" s="39"/>
      <c r="J186" s="38"/>
      <c r="K186" s="38"/>
      <c r="L186" s="39"/>
      <c r="M186" s="38"/>
      <c r="N186" s="38"/>
      <c r="O186" s="28">
        <f t="shared" si="29"/>
        <v>12000</v>
      </c>
      <c r="P186" s="59"/>
      <c r="Q186" s="60"/>
      <c r="R186" s="60"/>
    </row>
    <row r="187" spans="1:18" s="10" customFormat="1" ht="16.5" customHeight="1" x14ac:dyDescent="0.3">
      <c r="A187" s="50" t="s">
        <v>318</v>
      </c>
      <c r="B187" s="34" t="s">
        <v>320</v>
      </c>
      <c r="C187" s="38">
        <v>90000</v>
      </c>
      <c r="D187" s="38"/>
      <c r="E187" s="38"/>
      <c r="F187" s="38"/>
      <c r="G187" s="38"/>
      <c r="H187" s="38"/>
      <c r="I187" s="39"/>
      <c r="J187" s="38"/>
      <c r="K187" s="38"/>
      <c r="L187" s="39"/>
      <c r="M187" s="38"/>
      <c r="N187" s="38"/>
      <c r="O187" s="28">
        <f t="shared" si="29"/>
        <v>90000</v>
      </c>
      <c r="P187" s="59"/>
      <c r="Q187" s="60"/>
      <c r="R187" s="60"/>
    </row>
    <row r="188" spans="1:18" s="10" customFormat="1" ht="15" customHeight="1" x14ac:dyDescent="0.3">
      <c r="A188" s="50" t="s">
        <v>319</v>
      </c>
      <c r="B188" s="34" t="s">
        <v>371</v>
      </c>
      <c r="C188" s="38">
        <v>11000</v>
      </c>
      <c r="D188" s="38"/>
      <c r="E188" s="38"/>
      <c r="F188" s="39"/>
      <c r="G188" s="38"/>
      <c r="H188" s="38"/>
      <c r="I188" s="39"/>
      <c r="J188" s="39"/>
      <c r="K188" s="38"/>
      <c r="L188" s="39"/>
      <c r="M188" s="38"/>
      <c r="N188" s="38"/>
      <c r="O188" s="28">
        <f t="shared" ref="O188:O193" si="41">C188+F188+I188+L188</f>
        <v>11000</v>
      </c>
      <c r="P188" s="59"/>
      <c r="Q188" s="60"/>
      <c r="R188" s="60"/>
    </row>
    <row r="189" spans="1:18" s="10" customFormat="1" ht="16.5" customHeight="1" x14ac:dyDescent="0.3">
      <c r="A189" s="50" t="s">
        <v>370</v>
      </c>
      <c r="B189" s="34" t="s">
        <v>352</v>
      </c>
      <c r="C189" s="38">
        <v>27000</v>
      </c>
      <c r="D189" s="38"/>
      <c r="E189" s="38"/>
      <c r="F189" s="39"/>
      <c r="G189" s="38"/>
      <c r="H189" s="38"/>
      <c r="I189" s="39"/>
      <c r="J189" s="39"/>
      <c r="K189" s="38"/>
      <c r="L189" s="39"/>
      <c r="M189" s="38"/>
      <c r="N189" s="38"/>
      <c r="O189" s="28">
        <f t="shared" si="41"/>
        <v>27000</v>
      </c>
      <c r="P189" s="59"/>
      <c r="Q189" s="60"/>
      <c r="R189" s="60"/>
    </row>
    <row r="190" spans="1:18" s="10" customFormat="1" ht="17.25" customHeight="1" x14ac:dyDescent="0.3">
      <c r="A190" s="50" t="s">
        <v>321</v>
      </c>
      <c r="B190" s="34" t="s">
        <v>372</v>
      </c>
      <c r="C190" s="38"/>
      <c r="D190" s="38"/>
      <c r="E190" s="38"/>
      <c r="F190" s="39"/>
      <c r="G190" s="38"/>
      <c r="H190" s="38"/>
      <c r="I190" s="39">
        <v>195370</v>
      </c>
      <c r="J190" s="38">
        <v>195370</v>
      </c>
      <c r="K190" s="38"/>
      <c r="L190" s="39"/>
      <c r="M190" s="38"/>
      <c r="N190" s="38"/>
      <c r="O190" s="28">
        <f t="shared" si="41"/>
        <v>195370</v>
      </c>
      <c r="P190" s="59"/>
      <c r="Q190" s="60"/>
      <c r="R190" s="60"/>
    </row>
    <row r="191" spans="1:18" s="10" customFormat="1" ht="31.5" customHeight="1" x14ac:dyDescent="0.3">
      <c r="A191" s="50" t="s">
        <v>426</v>
      </c>
      <c r="B191" s="34" t="s">
        <v>392</v>
      </c>
      <c r="C191" s="38"/>
      <c r="D191" s="38"/>
      <c r="E191" s="38"/>
      <c r="F191" s="129">
        <f>10559+1259</f>
        <v>11818</v>
      </c>
      <c r="G191" s="38"/>
      <c r="H191" s="38"/>
      <c r="I191" s="39"/>
      <c r="J191" s="38"/>
      <c r="K191" s="38"/>
      <c r="L191" s="39"/>
      <c r="M191" s="38"/>
      <c r="N191" s="38"/>
      <c r="O191" s="28">
        <f t="shared" si="41"/>
        <v>11818</v>
      </c>
      <c r="P191" s="59"/>
      <c r="Q191" s="60"/>
      <c r="R191" s="60"/>
    </row>
    <row r="192" spans="1:18" s="10" customFormat="1" ht="17.25" customHeight="1" x14ac:dyDescent="0.3">
      <c r="A192" s="50" t="s">
        <v>373</v>
      </c>
      <c r="B192" s="34" t="s">
        <v>462</v>
      </c>
      <c r="C192" s="38"/>
      <c r="D192" s="38"/>
      <c r="E192" s="38"/>
      <c r="F192" s="129">
        <f>40334+247389+220153</f>
        <v>507876</v>
      </c>
      <c r="G192" s="38"/>
      <c r="H192" s="38"/>
      <c r="I192" s="39"/>
      <c r="J192" s="38"/>
      <c r="K192" s="38"/>
      <c r="L192" s="39"/>
      <c r="M192" s="38"/>
      <c r="N192" s="38"/>
      <c r="O192" s="28">
        <f t="shared" si="41"/>
        <v>507876</v>
      </c>
      <c r="P192" s="59"/>
      <c r="Q192" s="60"/>
      <c r="R192" s="60"/>
    </row>
    <row r="193" spans="1:18" s="10" customFormat="1" ht="31.5" customHeight="1" x14ac:dyDescent="0.3">
      <c r="A193" s="50" t="s">
        <v>525</v>
      </c>
      <c r="B193" s="34" t="s">
        <v>526</v>
      </c>
      <c r="C193" s="38"/>
      <c r="D193" s="38"/>
      <c r="E193" s="38"/>
      <c r="F193" s="129">
        <f>6749-6749</f>
        <v>0</v>
      </c>
      <c r="G193" s="38"/>
      <c r="H193" s="38"/>
      <c r="I193" s="39"/>
      <c r="J193" s="38"/>
      <c r="K193" s="38"/>
      <c r="L193" s="39"/>
      <c r="M193" s="38"/>
      <c r="N193" s="38"/>
      <c r="O193" s="28">
        <f t="shared" si="41"/>
        <v>0</v>
      </c>
      <c r="P193" s="59"/>
      <c r="Q193" s="60"/>
      <c r="R193" s="60"/>
    </row>
    <row r="194" spans="1:18" s="9" customFormat="1" ht="15.75" customHeight="1" x14ac:dyDescent="0.25">
      <c r="A194" s="28" t="s">
        <v>146</v>
      </c>
      <c r="B194" s="43" t="s">
        <v>24</v>
      </c>
      <c r="C194" s="28">
        <f>C195+C196+C197+C198+C199+C200</f>
        <v>280000</v>
      </c>
      <c r="D194" s="28">
        <f t="shared" ref="D194:O194" si="42">D195+D196+D197+D198+D199+D200</f>
        <v>0</v>
      </c>
      <c r="E194" s="28">
        <f t="shared" si="42"/>
        <v>0</v>
      </c>
      <c r="F194" s="28">
        <f t="shared" si="42"/>
        <v>0</v>
      </c>
      <c r="G194" s="28">
        <f t="shared" si="42"/>
        <v>0</v>
      </c>
      <c r="H194" s="28">
        <f t="shared" si="42"/>
        <v>0</v>
      </c>
      <c r="I194" s="28">
        <f t="shared" si="42"/>
        <v>0</v>
      </c>
      <c r="J194" s="28">
        <f t="shared" si="42"/>
        <v>0</v>
      </c>
      <c r="K194" s="28">
        <f t="shared" si="42"/>
        <v>0</v>
      </c>
      <c r="L194" s="28">
        <f t="shared" si="42"/>
        <v>0</v>
      </c>
      <c r="M194" s="28">
        <f t="shared" si="42"/>
        <v>0</v>
      </c>
      <c r="N194" s="28">
        <f t="shared" si="42"/>
        <v>0</v>
      </c>
      <c r="O194" s="28">
        <f t="shared" si="42"/>
        <v>280000</v>
      </c>
      <c r="P194" s="59"/>
      <c r="Q194" s="59"/>
      <c r="R194" s="59"/>
    </row>
    <row r="195" spans="1:18" s="10" customFormat="1" ht="29.25" customHeight="1" x14ac:dyDescent="0.3">
      <c r="A195" s="50" t="s">
        <v>295</v>
      </c>
      <c r="B195" s="34" t="s">
        <v>463</v>
      </c>
      <c r="C195" s="38">
        <v>220000</v>
      </c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28">
        <f t="shared" si="29"/>
        <v>220000</v>
      </c>
      <c r="P195" s="59"/>
      <c r="Q195" s="60"/>
      <c r="R195" s="60"/>
    </row>
    <row r="196" spans="1:18" s="10" customFormat="1" ht="16.5" customHeight="1" x14ac:dyDescent="0.3">
      <c r="A196" s="50" t="s">
        <v>296</v>
      </c>
      <c r="B196" s="34" t="s">
        <v>464</v>
      </c>
      <c r="C196" s="38">
        <v>20000</v>
      </c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28">
        <f t="shared" si="29"/>
        <v>20000</v>
      </c>
      <c r="P196" s="59"/>
      <c r="Q196" s="60"/>
      <c r="R196" s="60"/>
    </row>
    <row r="197" spans="1:18" s="10" customFormat="1" ht="15.75" customHeight="1" x14ac:dyDescent="0.3">
      <c r="A197" s="50" t="s">
        <v>297</v>
      </c>
      <c r="B197" s="34" t="s">
        <v>465</v>
      </c>
      <c r="C197" s="38">
        <v>20000</v>
      </c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28">
        <f t="shared" si="29"/>
        <v>20000</v>
      </c>
      <c r="P197" s="59"/>
      <c r="Q197" s="60"/>
      <c r="R197" s="60"/>
    </row>
    <row r="198" spans="1:18" s="10" customFormat="1" ht="15.75" customHeight="1" x14ac:dyDescent="0.3">
      <c r="A198" s="50" t="s">
        <v>466</v>
      </c>
      <c r="B198" s="34" t="s">
        <v>467</v>
      </c>
      <c r="C198" s="38">
        <v>10000</v>
      </c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28">
        <f t="shared" si="29"/>
        <v>10000</v>
      </c>
      <c r="P198" s="59"/>
      <c r="Q198" s="60"/>
      <c r="R198" s="60"/>
    </row>
    <row r="199" spans="1:18" s="10" customFormat="1" ht="15.75" customHeight="1" x14ac:dyDescent="0.3">
      <c r="A199" s="50" t="s">
        <v>468</v>
      </c>
      <c r="B199" s="34" t="s">
        <v>469</v>
      </c>
      <c r="C199" s="38">
        <v>10000</v>
      </c>
      <c r="D199" s="38"/>
      <c r="E199" s="38"/>
      <c r="F199" s="39"/>
      <c r="G199" s="38"/>
      <c r="H199" s="38"/>
      <c r="I199" s="39"/>
      <c r="J199" s="39"/>
      <c r="K199" s="38"/>
      <c r="L199" s="39"/>
      <c r="M199" s="38"/>
      <c r="N199" s="38"/>
      <c r="O199" s="28">
        <f t="shared" si="29"/>
        <v>10000</v>
      </c>
      <c r="P199" s="59"/>
      <c r="Q199" s="60"/>
      <c r="R199" s="60"/>
    </row>
    <row r="200" spans="1:18" s="10" customFormat="1" ht="15.75" customHeight="1" x14ac:dyDescent="0.3">
      <c r="A200" s="50" t="s">
        <v>470</v>
      </c>
      <c r="B200" s="34" t="s">
        <v>471</v>
      </c>
      <c r="C200" s="38">
        <f>400000-132713-267287</f>
        <v>0</v>
      </c>
      <c r="D200" s="38"/>
      <c r="E200" s="38"/>
      <c r="F200" s="39"/>
      <c r="G200" s="38"/>
      <c r="H200" s="38"/>
      <c r="I200" s="39"/>
      <c r="J200" s="39"/>
      <c r="K200" s="38"/>
      <c r="L200" s="39"/>
      <c r="M200" s="38"/>
      <c r="N200" s="38"/>
      <c r="O200" s="28">
        <f>C200+F200+I200+L200</f>
        <v>0</v>
      </c>
      <c r="P200" s="59"/>
      <c r="Q200" s="60"/>
      <c r="R200" s="60"/>
    </row>
    <row r="201" spans="1:18" s="1" customFormat="1" ht="32.25" customHeight="1" x14ac:dyDescent="0.3">
      <c r="A201" s="47"/>
      <c r="B201" s="144" t="s">
        <v>203</v>
      </c>
      <c r="C201" s="144"/>
      <c r="D201" s="144"/>
      <c r="E201" s="144"/>
      <c r="F201" s="144"/>
      <c r="G201" s="144"/>
      <c r="H201" s="144"/>
      <c r="I201" s="144"/>
      <c r="J201" s="144"/>
      <c r="K201" s="144"/>
      <c r="L201" s="144"/>
      <c r="M201" s="144"/>
      <c r="N201" s="144"/>
      <c r="O201" s="144"/>
      <c r="P201" s="86"/>
      <c r="Q201" s="17"/>
      <c r="R201" s="17"/>
    </row>
    <row r="202" spans="1:18" s="7" customFormat="1" ht="15.75" customHeight="1" x14ac:dyDescent="0.25">
      <c r="A202" s="30"/>
      <c r="B202" s="43" t="s">
        <v>28</v>
      </c>
      <c r="C202" s="39">
        <f t="shared" ref="C202:N202" si="43">C203+C246+C245</f>
        <v>7133550</v>
      </c>
      <c r="D202" s="39">
        <f t="shared" si="43"/>
        <v>2119560</v>
      </c>
      <c r="E202" s="39">
        <f t="shared" si="43"/>
        <v>0</v>
      </c>
      <c r="F202" s="39">
        <f>F203+F246+F245</f>
        <v>3067811</v>
      </c>
      <c r="G202" s="39">
        <f t="shared" si="43"/>
        <v>534560</v>
      </c>
      <c r="H202" s="39">
        <f t="shared" si="43"/>
        <v>0</v>
      </c>
      <c r="I202" s="39">
        <f t="shared" si="43"/>
        <v>0</v>
      </c>
      <c r="J202" s="39">
        <f t="shared" si="43"/>
        <v>0</v>
      </c>
      <c r="K202" s="39">
        <f t="shared" si="43"/>
        <v>0</v>
      </c>
      <c r="L202" s="39">
        <f t="shared" si="43"/>
        <v>328824</v>
      </c>
      <c r="M202" s="39">
        <f t="shared" si="43"/>
        <v>326293</v>
      </c>
      <c r="N202" s="39">
        <f t="shared" si="43"/>
        <v>0</v>
      </c>
      <c r="O202" s="39">
        <f>C202+F202+I202+L202</f>
        <v>10530185</v>
      </c>
      <c r="P202" s="88"/>
      <c r="Q202" s="59">
        <v>100000</v>
      </c>
      <c r="R202" s="59">
        <f>O202+Q202</f>
        <v>10630185</v>
      </c>
    </row>
    <row r="203" spans="1:18" s="2" customFormat="1" ht="15.75" customHeight="1" x14ac:dyDescent="0.3">
      <c r="A203" s="28" t="s">
        <v>147</v>
      </c>
      <c r="B203" s="43" t="s">
        <v>35</v>
      </c>
      <c r="C203" s="28">
        <f t="shared" ref="C203:E203" si="44">SUM(C204:C244)</f>
        <v>6578563</v>
      </c>
      <c r="D203" s="28">
        <f t="shared" si="44"/>
        <v>1757060</v>
      </c>
      <c r="E203" s="28">
        <f t="shared" si="44"/>
        <v>0</v>
      </c>
      <c r="F203" s="28">
        <f>SUM(F204:F244)</f>
        <v>3031822</v>
      </c>
      <c r="G203" s="28">
        <f t="shared" ref="G203:L203" si="45">SUM(G204:G244)</f>
        <v>504000</v>
      </c>
      <c r="H203" s="28">
        <f t="shared" si="45"/>
        <v>0</v>
      </c>
      <c r="I203" s="28">
        <f t="shared" si="45"/>
        <v>0</v>
      </c>
      <c r="J203" s="28">
        <f t="shared" si="45"/>
        <v>0</v>
      </c>
      <c r="K203" s="28">
        <f t="shared" si="45"/>
        <v>0</v>
      </c>
      <c r="L203" s="28">
        <f t="shared" si="45"/>
        <v>0</v>
      </c>
      <c r="M203" s="28">
        <f>SUM(M204:M240)</f>
        <v>0</v>
      </c>
      <c r="N203" s="28">
        <f>SUM(N204:N240)</f>
        <v>0</v>
      </c>
      <c r="O203" s="28">
        <f>SUM(O204:O243)</f>
        <v>9510385</v>
      </c>
      <c r="P203" s="59"/>
      <c r="Q203" s="17"/>
      <c r="R203" s="17"/>
    </row>
    <row r="204" spans="1:18" s="10" customFormat="1" ht="15.75" customHeight="1" x14ac:dyDescent="0.3">
      <c r="A204" s="50" t="s">
        <v>298</v>
      </c>
      <c r="B204" s="34" t="s">
        <v>14</v>
      </c>
      <c r="C204" s="38">
        <v>1660000</v>
      </c>
      <c r="D204" s="38"/>
      <c r="E204" s="38"/>
      <c r="F204" s="130">
        <f>11421+13593</f>
        <v>25014</v>
      </c>
      <c r="G204" s="38"/>
      <c r="H204" s="38"/>
      <c r="I204" s="38"/>
      <c r="J204" s="38"/>
      <c r="K204" s="38"/>
      <c r="L204" s="38"/>
      <c r="M204" s="38"/>
      <c r="N204" s="38"/>
      <c r="O204" s="28">
        <f>C204+F204+I204+L204</f>
        <v>1685014</v>
      </c>
      <c r="P204" s="59"/>
      <c r="Q204" s="60"/>
      <c r="R204" s="60"/>
    </row>
    <row r="205" spans="1:18" s="10" customFormat="1" ht="15.75" customHeight="1" x14ac:dyDescent="0.3">
      <c r="A205" s="50" t="s">
        <v>299</v>
      </c>
      <c r="B205" s="34" t="s">
        <v>322</v>
      </c>
      <c r="C205" s="38">
        <v>144000</v>
      </c>
      <c r="D205" s="38"/>
      <c r="E205" s="38"/>
      <c r="F205" s="130">
        <f>100</f>
        <v>100</v>
      </c>
      <c r="G205" s="38"/>
      <c r="H205" s="38"/>
      <c r="I205" s="38"/>
      <c r="J205" s="38"/>
      <c r="K205" s="38"/>
      <c r="L205" s="38"/>
      <c r="M205" s="38"/>
      <c r="N205" s="38"/>
      <c r="O205" s="28">
        <f>C205+F205+I205+L205</f>
        <v>144100</v>
      </c>
      <c r="P205" s="59"/>
      <c r="Q205" s="60"/>
      <c r="R205" s="60"/>
    </row>
    <row r="206" spans="1:18" s="10" customFormat="1" ht="15.75" customHeight="1" x14ac:dyDescent="0.3">
      <c r="A206" s="50" t="s">
        <v>300</v>
      </c>
      <c r="B206" s="34" t="s">
        <v>33</v>
      </c>
      <c r="C206" s="38">
        <v>1030000</v>
      </c>
      <c r="D206" s="38"/>
      <c r="E206" s="38"/>
      <c r="F206" s="130">
        <f>1269+257+141</f>
        <v>1667</v>
      </c>
      <c r="G206" s="38"/>
      <c r="H206" s="38"/>
      <c r="I206" s="38"/>
      <c r="J206" s="38"/>
      <c r="K206" s="38"/>
      <c r="L206" s="38"/>
      <c r="M206" s="38"/>
      <c r="N206" s="38"/>
      <c r="O206" s="28">
        <f>C206+F206+I206+L206</f>
        <v>1031667</v>
      </c>
      <c r="P206" s="59"/>
      <c r="Q206" s="60"/>
      <c r="R206" s="60"/>
    </row>
    <row r="207" spans="1:18" s="10" customFormat="1" ht="15.75" customHeight="1" x14ac:dyDescent="0.3">
      <c r="A207" s="50" t="s">
        <v>301</v>
      </c>
      <c r="B207" s="34" t="s">
        <v>165</v>
      </c>
      <c r="C207" s="38"/>
      <c r="D207" s="38"/>
      <c r="E207" s="38"/>
      <c r="F207" s="130">
        <f>214700-4400</f>
        <v>210300</v>
      </c>
      <c r="G207" s="38"/>
      <c r="H207" s="38"/>
      <c r="I207" s="38"/>
      <c r="J207" s="38"/>
      <c r="K207" s="38"/>
      <c r="L207" s="38"/>
      <c r="M207" s="38"/>
      <c r="N207" s="38"/>
      <c r="O207" s="28">
        <f t="shared" ref="O207:O245" si="46">C207+F207+I207+L207</f>
        <v>210300</v>
      </c>
      <c r="P207" s="59"/>
      <c r="Q207" s="60"/>
      <c r="R207" s="60"/>
    </row>
    <row r="208" spans="1:18" s="10" customFormat="1" ht="15.75" customHeight="1" x14ac:dyDescent="0.3">
      <c r="A208" s="50" t="s">
        <v>302</v>
      </c>
      <c r="B208" s="46" t="s">
        <v>269</v>
      </c>
      <c r="C208" s="38">
        <v>8000</v>
      </c>
      <c r="D208" s="46"/>
      <c r="E208" s="38"/>
      <c r="F208" s="38">
        <v>157500</v>
      </c>
      <c r="G208" s="38"/>
      <c r="H208" s="38"/>
      <c r="I208" s="46"/>
      <c r="J208" s="46"/>
      <c r="K208" s="46"/>
      <c r="L208" s="46"/>
      <c r="M208" s="46"/>
      <c r="N208" s="46"/>
      <c r="O208" s="28">
        <f>C208+F208+I208+L208</f>
        <v>165500</v>
      </c>
      <c r="P208" s="59"/>
      <c r="Q208" s="60"/>
      <c r="R208" s="60"/>
    </row>
    <row r="209" spans="1:18" s="10" customFormat="1" ht="15.75" customHeight="1" x14ac:dyDescent="0.3">
      <c r="A209" s="50" t="s">
        <v>303</v>
      </c>
      <c r="B209" s="34" t="s">
        <v>163</v>
      </c>
      <c r="C209" s="38"/>
      <c r="D209" s="38"/>
      <c r="E209" s="38"/>
      <c r="F209" s="38">
        <v>98000</v>
      </c>
      <c r="G209" s="38"/>
      <c r="H209" s="38"/>
      <c r="I209" s="38"/>
      <c r="J209" s="38"/>
      <c r="K209" s="38"/>
      <c r="L209" s="38"/>
      <c r="M209" s="38"/>
      <c r="N209" s="38"/>
      <c r="O209" s="28">
        <f t="shared" si="46"/>
        <v>98000</v>
      </c>
      <c r="P209" s="59"/>
      <c r="Q209" s="60"/>
      <c r="R209" s="60"/>
    </row>
    <row r="210" spans="1:18" s="10" customFormat="1" ht="15.75" customHeight="1" x14ac:dyDescent="0.3">
      <c r="A210" s="50" t="s">
        <v>304</v>
      </c>
      <c r="B210" s="34" t="s">
        <v>34</v>
      </c>
      <c r="C210" s="38"/>
      <c r="D210" s="38"/>
      <c r="E210" s="38"/>
      <c r="F210" s="130">
        <f>382800+2042+2138</f>
        <v>386980</v>
      </c>
      <c r="G210" s="38"/>
      <c r="H210" s="38"/>
      <c r="I210" s="38"/>
      <c r="J210" s="38"/>
      <c r="K210" s="38"/>
      <c r="L210" s="38"/>
      <c r="M210" s="38"/>
      <c r="N210" s="38"/>
      <c r="O210" s="28">
        <f t="shared" si="46"/>
        <v>386980</v>
      </c>
      <c r="P210" s="59"/>
      <c r="Q210" s="60"/>
      <c r="R210" s="60"/>
    </row>
    <row r="211" spans="1:18" s="10" customFormat="1" ht="15.75" customHeight="1" x14ac:dyDescent="0.3">
      <c r="A211" s="50" t="s">
        <v>323</v>
      </c>
      <c r="B211" s="34" t="s">
        <v>164</v>
      </c>
      <c r="C211" s="130">
        <f>46000-2570</f>
        <v>43430</v>
      </c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28">
        <f t="shared" si="46"/>
        <v>43430</v>
      </c>
      <c r="P211" s="59"/>
      <c r="Q211" s="60"/>
      <c r="R211" s="60"/>
    </row>
    <row r="212" spans="1:18" s="10" customFormat="1" ht="15.75" customHeight="1" x14ac:dyDescent="0.3">
      <c r="A212" s="50" t="s">
        <v>324</v>
      </c>
      <c r="B212" s="34" t="s">
        <v>183</v>
      </c>
      <c r="C212" s="38"/>
      <c r="D212" s="38"/>
      <c r="E212" s="38"/>
      <c r="F212" s="130">
        <f>946200+140000</f>
        <v>1086200</v>
      </c>
      <c r="G212" s="38"/>
      <c r="H212" s="38"/>
      <c r="I212" s="38"/>
      <c r="J212" s="38"/>
      <c r="K212" s="38"/>
      <c r="L212" s="38"/>
      <c r="M212" s="38"/>
      <c r="N212" s="38"/>
      <c r="O212" s="28">
        <f t="shared" si="46"/>
        <v>1086200</v>
      </c>
      <c r="P212" s="59"/>
      <c r="Q212" s="60"/>
      <c r="R212" s="60"/>
    </row>
    <row r="213" spans="1:18" s="8" customFormat="1" ht="45" customHeight="1" x14ac:dyDescent="0.25">
      <c r="A213" s="50" t="s">
        <v>325</v>
      </c>
      <c r="B213" s="66" t="s">
        <v>427</v>
      </c>
      <c r="C213" s="30"/>
      <c r="D213" s="30"/>
      <c r="E213" s="30"/>
      <c r="F213" s="30">
        <v>418000</v>
      </c>
      <c r="G213" s="30">
        <v>405000</v>
      </c>
      <c r="H213" s="30"/>
      <c r="I213" s="30"/>
      <c r="J213" s="30"/>
      <c r="K213" s="30"/>
      <c r="L213" s="30"/>
      <c r="M213" s="30"/>
      <c r="N213" s="30"/>
      <c r="O213" s="28">
        <f t="shared" si="46"/>
        <v>418000</v>
      </c>
      <c r="P213" s="59"/>
      <c r="Q213" s="58"/>
      <c r="R213" s="58"/>
    </row>
    <row r="214" spans="1:18" s="8" customFormat="1" ht="28.5" customHeight="1" x14ac:dyDescent="0.25">
      <c r="A214" s="50" t="s">
        <v>326</v>
      </c>
      <c r="B214" s="66" t="s">
        <v>428</v>
      </c>
      <c r="C214" s="30"/>
      <c r="D214" s="30"/>
      <c r="E214" s="30"/>
      <c r="F214" s="30">
        <v>103500</v>
      </c>
      <c r="G214" s="30">
        <v>99000</v>
      </c>
      <c r="H214" s="30"/>
      <c r="I214" s="30"/>
      <c r="J214" s="30"/>
      <c r="K214" s="30"/>
      <c r="L214" s="30"/>
      <c r="M214" s="30"/>
      <c r="N214" s="30"/>
      <c r="O214" s="28">
        <f t="shared" si="46"/>
        <v>103500</v>
      </c>
      <c r="P214" s="59"/>
      <c r="Q214" s="58"/>
      <c r="R214" s="58"/>
    </row>
    <row r="215" spans="1:18" s="4" customFormat="1" ht="28.5" customHeight="1" x14ac:dyDescent="0.25">
      <c r="A215" s="50" t="s">
        <v>327</v>
      </c>
      <c r="B215" s="34" t="s">
        <v>583</v>
      </c>
      <c r="C215" s="30">
        <v>170000</v>
      </c>
      <c r="D215" s="30"/>
      <c r="E215" s="30"/>
      <c r="F215" s="134">
        <f>227700+13200</f>
        <v>240900</v>
      </c>
      <c r="G215" s="30"/>
      <c r="H215" s="30"/>
      <c r="I215" s="30"/>
      <c r="J215" s="30"/>
      <c r="K215" s="30"/>
      <c r="L215" s="30"/>
      <c r="M215" s="30"/>
      <c r="N215" s="30"/>
      <c r="O215" s="28">
        <f t="shared" si="46"/>
        <v>410900</v>
      </c>
      <c r="P215" s="59"/>
      <c r="Q215" s="59"/>
      <c r="R215" s="58"/>
    </row>
    <row r="216" spans="1:18" s="8" customFormat="1" ht="15.75" customHeight="1" x14ac:dyDescent="0.25">
      <c r="A216" s="50" t="s">
        <v>328</v>
      </c>
      <c r="B216" s="66" t="s">
        <v>472</v>
      </c>
      <c r="C216" s="30"/>
      <c r="D216" s="30"/>
      <c r="E216" s="30"/>
      <c r="F216" s="30">
        <v>12500</v>
      </c>
      <c r="G216" s="30"/>
      <c r="H216" s="30"/>
      <c r="I216" s="30"/>
      <c r="J216" s="30"/>
      <c r="K216" s="30"/>
      <c r="L216" s="30"/>
      <c r="M216" s="30"/>
      <c r="N216" s="30"/>
      <c r="O216" s="28">
        <f>C216+F216+I216+L216</f>
        <v>12500</v>
      </c>
      <c r="P216" s="59"/>
      <c r="Q216" s="58"/>
      <c r="R216" s="58"/>
    </row>
    <row r="217" spans="1:18" s="8" customFormat="1" ht="15.75" customHeight="1" x14ac:dyDescent="0.25">
      <c r="A217" s="50" t="s">
        <v>375</v>
      </c>
      <c r="B217" s="66" t="s">
        <v>374</v>
      </c>
      <c r="C217" s="30"/>
      <c r="D217" s="30"/>
      <c r="E217" s="30"/>
      <c r="F217" s="134">
        <f>99686-39216-20000</f>
        <v>40470</v>
      </c>
      <c r="G217" s="30"/>
      <c r="H217" s="30"/>
      <c r="I217" s="30"/>
      <c r="J217" s="30"/>
      <c r="K217" s="30"/>
      <c r="L217" s="30"/>
      <c r="M217" s="30"/>
      <c r="N217" s="30"/>
      <c r="O217" s="28">
        <f t="shared" si="46"/>
        <v>40470</v>
      </c>
      <c r="P217" s="59"/>
      <c r="Q217" s="58"/>
      <c r="R217" s="58"/>
    </row>
    <row r="218" spans="1:18" s="10" customFormat="1" ht="15.75" customHeight="1" x14ac:dyDescent="0.3">
      <c r="A218" s="50" t="s">
        <v>473</v>
      </c>
      <c r="B218" s="34" t="s">
        <v>429</v>
      </c>
      <c r="C218" s="38">
        <v>14000</v>
      </c>
      <c r="D218" s="38"/>
      <c r="E218" s="38"/>
      <c r="F218" s="130">
        <f>28400-2694</f>
        <v>25706</v>
      </c>
      <c r="G218" s="38"/>
      <c r="H218" s="38"/>
      <c r="I218" s="39"/>
      <c r="J218" s="39"/>
      <c r="K218" s="38"/>
      <c r="L218" s="39"/>
      <c r="M218" s="38"/>
      <c r="N218" s="38"/>
      <c r="O218" s="28">
        <f t="shared" si="46"/>
        <v>39706</v>
      </c>
      <c r="P218" s="59"/>
      <c r="Q218" s="60"/>
      <c r="R218" s="60"/>
    </row>
    <row r="219" spans="1:18" s="10" customFormat="1" ht="15.75" customHeight="1" x14ac:dyDescent="0.3">
      <c r="A219" s="50" t="s">
        <v>474</v>
      </c>
      <c r="B219" s="34" t="s">
        <v>475</v>
      </c>
      <c r="C219" s="130">
        <f>23000+8582</f>
        <v>31582</v>
      </c>
      <c r="D219" s="38"/>
      <c r="E219" s="38"/>
      <c r="F219" s="130">
        <f>51125-3751</f>
        <v>47374</v>
      </c>
      <c r="G219" s="38"/>
      <c r="H219" s="38"/>
      <c r="I219" s="39"/>
      <c r="J219" s="39"/>
      <c r="K219" s="38"/>
      <c r="L219" s="39"/>
      <c r="M219" s="38"/>
      <c r="N219" s="38"/>
      <c r="O219" s="28">
        <f t="shared" si="46"/>
        <v>78956</v>
      </c>
      <c r="P219" s="59"/>
      <c r="Q219" s="60"/>
      <c r="R219" s="60"/>
    </row>
    <row r="220" spans="1:18" s="10" customFormat="1" ht="30" customHeight="1" x14ac:dyDescent="0.3">
      <c r="A220" s="50" t="s">
        <v>329</v>
      </c>
      <c r="B220" s="34" t="s">
        <v>476</v>
      </c>
      <c r="C220" s="38"/>
      <c r="D220" s="38"/>
      <c r="E220" s="38"/>
      <c r="F220" s="38">
        <f>6626+719</f>
        <v>7345</v>
      </c>
      <c r="G220" s="38"/>
      <c r="H220" s="38"/>
      <c r="I220" s="39"/>
      <c r="J220" s="39"/>
      <c r="K220" s="38"/>
      <c r="L220" s="39"/>
      <c r="M220" s="38"/>
      <c r="N220" s="38"/>
      <c r="O220" s="28">
        <f>C220+F220+I220+L220</f>
        <v>7345</v>
      </c>
      <c r="P220" s="59"/>
      <c r="Q220" s="60"/>
      <c r="R220" s="60"/>
    </row>
    <row r="221" spans="1:18" s="10" customFormat="1" ht="28.5" customHeight="1" x14ac:dyDescent="0.3">
      <c r="A221" s="50" t="s">
        <v>330</v>
      </c>
      <c r="B221" s="34" t="s">
        <v>389</v>
      </c>
      <c r="C221" s="130">
        <f>795000+166300</f>
        <v>961300</v>
      </c>
      <c r="D221" s="38"/>
      <c r="E221" s="38"/>
      <c r="F221" s="130">
        <f>6300</f>
        <v>6300</v>
      </c>
      <c r="G221" s="38"/>
      <c r="H221" s="38"/>
      <c r="I221" s="39"/>
      <c r="J221" s="39"/>
      <c r="K221" s="38"/>
      <c r="L221" s="39"/>
      <c r="M221" s="38"/>
      <c r="N221" s="38"/>
      <c r="O221" s="28">
        <f t="shared" si="46"/>
        <v>967600</v>
      </c>
      <c r="P221" s="59"/>
      <c r="Q221" s="60"/>
      <c r="R221" s="60"/>
    </row>
    <row r="222" spans="1:18" s="10" customFormat="1" ht="28.5" customHeight="1" x14ac:dyDescent="0.3">
      <c r="A222" s="50" t="s">
        <v>331</v>
      </c>
      <c r="B222" s="34" t="s">
        <v>477</v>
      </c>
      <c r="C222" s="38">
        <v>24000</v>
      </c>
      <c r="D222" s="38"/>
      <c r="E222" s="38"/>
      <c r="F222" s="38"/>
      <c r="G222" s="38"/>
      <c r="H222" s="38"/>
      <c r="I222" s="38"/>
      <c r="J222" s="38"/>
      <c r="K222" s="38"/>
      <c r="L222" s="39"/>
      <c r="M222" s="38"/>
      <c r="N222" s="38"/>
      <c r="O222" s="28">
        <f t="shared" si="46"/>
        <v>24000</v>
      </c>
      <c r="P222" s="59"/>
      <c r="Q222" s="60"/>
      <c r="R222" s="60"/>
    </row>
    <row r="223" spans="1:18" s="4" customFormat="1" ht="15.75" customHeight="1" x14ac:dyDescent="0.25">
      <c r="A223" s="50" t="s">
        <v>332</v>
      </c>
      <c r="B223" s="34" t="s">
        <v>478</v>
      </c>
      <c r="C223" s="134">
        <f>353500-73600</f>
        <v>279900</v>
      </c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28">
        <f t="shared" si="46"/>
        <v>279900</v>
      </c>
      <c r="P223" s="59"/>
      <c r="Q223" s="59"/>
      <c r="R223" s="58"/>
    </row>
    <row r="224" spans="1:18" s="4" customFormat="1" ht="45.75" customHeight="1" x14ac:dyDescent="0.25">
      <c r="A224" s="50" t="s">
        <v>333</v>
      </c>
      <c r="B224" s="34" t="s">
        <v>524</v>
      </c>
      <c r="C224" s="134">
        <f>25000+10000+3800+2900</f>
        <v>41700</v>
      </c>
      <c r="D224" s="32"/>
      <c r="E224" s="30"/>
      <c r="F224" s="134">
        <f>27583+10797</f>
        <v>38380</v>
      </c>
      <c r="G224" s="32"/>
      <c r="H224" s="32"/>
      <c r="I224" s="32"/>
      <c r="J224" s="32"/>
      <c r="K224" s="32"/>
      <c r="L224" s="32"/>
      <c r="M224" s="32"/>
      <c r="N224" s="32"/>
      <c r="O224" s="28">
        <f t="shared" si="46"/>
        <v>80080</v>
      </c>
      <c r="P224" s="59"/>
      <c r="Q224" s="59"/>
      <c r="R224" s="58"/>
    </row>
    <row r="225" spans="1:18" s="10" customFormat="1" ht="15.75" customHeight="1" x14ac:dyDescent="0.3">
      <c r="A225" s="50" t="s">
        <v>334</v>
      </c>
      <c r="B225" s="34" t="s">
        <v>181</v>
      </c>
      <c r="C225" s="38">
        <v>1000</v>
      </c>
      <c r="D225" s="38"/>
      <c r="E225" s="38"/>
      <c r="F225" s="39"/>
      <c r="G225" s="38"/>
      <c r="H225" s="38"/>
      <c r="I225" s="39"/>
      <c r="J225" s="39"/>
      <c r="K225" s="38"/>
      <c r="L225" s="39"/>
      <c r="M225" s="38"/>
      <c r="N225" s="38"/>
      <c r="O225" s="28">
        <f t="shared" si="46"/>
        <v>1000</v>
      </c>
      <c r="P225" s="59"/>
      <c r="Q225" s="60"/>
      <c r="R225" s="60"/>
    </row>
    <row r="226" spans="1:18" s="4" customFormat="1" ht="30" customHeight="1" x14ac:dyDescent="0.25">
      <c r="A226" s="50" t="s">
        <v>335</v>
      </c>
      <c r="B226" s="46" t="s">
        <v>438</v>
      </c>
      <c r="C226" s="30">
        <v>222000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28">
        <f t="shared" si="46"/>
        <v>222000</v>
      </c>
      <c r="P226" s="59"/>
      <c r="Q226" s="58"/>
      <c r="R226" s="58"/>
    </row>
    <row r="227" spans="1:18" s="10" customFormat="1" ht="15.75" customHeight="1" x14ac:dyDescent="0.3">
      <c r="A227" s="50" t="s">
        <v>336</v>
      </c>
      <c r="B227" s="34" t="s">
        <v>157</v>
      </c>
      <c r="C227" s="55">
        <v>11000</v>
      </c>
      <c r="D227" s="38"/>
      <c r="E227" s="38"/>
      <c r="F227" s="39"/>
      <c r="G227" s="38"/>
      <c r="H227" s="38"/>
      <c r="I227" s="39"/>
      <c r="J227" s="39"/>
      <c r="K227" s="38"/>
      <c r="L227" s="39"/>
      <c r="M227" s="38"/>
      <c r="N227" s="38"/>
      <c r="O227" s="28">
        <f t="shared" si="46"/>
        <v>11000</v>
      </c>
      <c r="P227" s="59"/>
      <c r="Q227" s="60"/>
      <c r="R227" s="60"/>
    </row>
    <row r="228" spans="1:18" s="10" customFormat="1" ht="15.75" customHeight="1" x14ac:dyDescent="0.3">
      <c r="A228" s="50" t="s">
        <v>337</v>
      </c>
      <c r="B228" s="34" t="s">
        <v>376</v>
      </c>
      <c r="C228" s="38">
        <f>82950-20000</f>
        <v>62950</v>
      </c>
      <c r="D228" s="38"/>
      <c r="E228" s="38"/>
      <c r="F228" s="39"/>
      <c r="G228" s="38"/>
      <c r="H228" s="38"/>
      <c r="I228" s="39"/>
      <c r="J228" s="39"/>
      <c r="K228" s="38"/>
      <c r="L228" s="39"/>
      <c r="M228" s="38"/>
      <c r="N228" s="38"/>
      <c r="O228" s="28">
        <f t="shared" si="46"/>
        <v>62950</v>
      </c>
      <c r="P228" s="59"/>
      <c r="Q228" s="60"/>
      <c r="R228" s="60"/>
    </row>
    <row r="229" spans="1:18" s="10" customFormat="1" ht="15.75" customHeight="1" x14ac:dyDescent="0.3">
      <c r="A229" s="50" t="s">
        <v>338</v>
      </c>
      <c r="B229" s="34" t="s">
        <v>268</v>
      </c>
      <c r="C229" s="38">
        <v>2148</v>
      </c>
      <c r="D229" s="38"/>
      <c r="E229" s="38"/>
      <c r="F229" s="39"/>
      <c r="G229" s="38"/>
      <c r="H229" s="38"/>
      <c r="I229" s="39"/>
      <c r="J229" s="39"/>
      <c r="K229" s="38"/>
      <c r="L229" s="39"/>
      <c r="M229" s="38"/>
      <c r="N229" s="38"/>
      <c r="O229" s="28">
        <f t="shared" si="46"/>
        <v>2148</v>
      </c>
      <c r="P229" s="59"/>
      <c r="Q229" s="60"/>
      <c r="R229" s="60"/>
    </row>
    <row r="230" spans="1:18" s="10" customFormat="1" ht="45.75" customHeight="1" x14ac:dyDescent="0.3">
      <c r="A230" s="50" t="s">
        <v>339</v>
      </c>
      <c r="B230" s="132" t="s">
        <v>584</v>
      </c>
      <c r="C230" s="130">
        <f>5000+14000</f>
        <v>19000</v>
      </c>
      <c r="D230" s="38"/>
      <c r="E230" s="38"/>
      <c r="F230" s="39"/>
      <c r="G230" s="38"/>
      <c r="H230" s="38"/>
      <c r="I230" s="39"/>
      <c r="J230" s="39"/>
      <c r="K230" s="38"/>
      <c r="L230" s="39"/>
      <c r="M230" s="38"/>
      <c r="N230" s="38"/>
      <c r="O230" s="28">
        <f t="shared" si="46"/>
        <v>19000</v>
      </c>
      <c r="P230" s="59"/>
      <c r="Q230" s="60"/>
      <c r="R230" s="60"/>
    </row>
    <row r="231" spans="1:18" s="10" customFormat="1" ht="30.75" customHeight="1" x14ac:dyDescent="0.3">
      <c r="A231" s="50" t="s">
        <v>340</v>
      </c>
      <c r="B231" s="34" t="s">
        <v>184</v>
      </c>
      <c r="C231" s="38">
        <v>23000</v>
      </c>
      <c r="D231" s="38"/>
      <c r="E231" s="38"/>
      <c r="F231" s="39"/>
      <c r="G231" s="38"/>
      <c r="H231" s="38"/>
      <c r="I231" s="39"/>
      <c r="J231" s="39"/>
      <c r="K231" s="38"/>
      <c r="L231" s="39"/>
      <c r="M231" s="38"/>
      <c r="N231" s="38"/>
      <c r="O231" s="28">
        <f>C231+F231+I231+L231</f>
        <v>23000</v>
      </c>
      <c r="P231" s="59"/>
      <c r="Q231" s="60"/>
      <c r="R231" s="60"/>
    </row>
    <row r="232" spans="1:18" s="10" customFormat="1" ht="28.5" customHeight="1" x14ac:dyDescent="0.3">
      <c r="A232" s="50" t="s">
        <v>341</v>
      </c>
      <c r="B232" s="34" t="s">
        <v>571</v>
      </c>
      <c r="C232" s="130">
        <f>187400-20350</f>
        <v>167050</v>
      </c>
      <c r="D232" s="38">
        <v>184150</v>
      </c>
      <c r="E232" s="38"/>
      <c r="F232" s="39"/>
      <c r="G232" s="38"/>
      <c r="H232" s="38"/>
      <c r="I232" s="39"/>
      <c r="J232" s="39"/>
      <c r="K232" s="38"/>
      <c r="L232" s="39"/>
      <c r="M232" s="38"/>
      <c r="N232" s="38"/>
      <c r="O232" s="28">
        <f t="shared" si="46"/>
        <v>167050</v>
      </c>
      <c r="P232" s="59"/>
      <c r="Q232" s="60"/>
      <c r="R232" s="60"/>
    </row>
    <row r="233" spans="1:18" s="10" customFormat="1" ht="30" customHeight="1" x14ac:dyDescent="0.3">
      <c r="A233" s="50" t="s">
        <v>342</v>
      </c>
      <c r="B233" s="61" t="s">
        <v>305</v>
      </c>
      <c r="C233" s="130">
        <f>208800-112521</f>
        <v>96279</v>
      </c>
      <c r="D233" s="38">
        <v>205070</v>
      </c>
      <c r="E233" s="38"/>
      <c r="F233" s="39"/>
      <c r="G233" s="38"/>
      <c r="H233" s="38"/>
      <c r="I233" s="39"/>
      <c r="J233" s="39"/>
      <c r="K233" s="38"/>
      <c r="L233" s="39"/>
      <c r="M233" s="38"/>
      <c r="N233" s="38"/>
      <c r="O233" s="28">
        <f t="shared" si="46"/>
        <v>96279</v>
      </c>
      <c r="P233" s="59"/>
      <c r="Q233" s="60"/>
      <c r="R233" s="60"/>
    </row>
    <row r="234" spans="1:18" s="10" customFormat="1" ht="29.25" customHeight="1" x14ac:dyDescent="0.3">
      <c r="A234" s="50" t="s">
        <v>479</v>
      </c>
      <c r="B234" s="34" t="s">
        <v>182</v>
      </c>
      <c r="C234" s="38">
        <v>601400</v>
      </c>
      <c r="D234" s="38">
        <v>580000</v>
      </c>
      <c r="E234" s="38"/>
      <c r="F234" s="38"/>
      <c r="G234" s="38"/>
      <c r="H234" s="38"/>
      <c r="I234" s="39"/>
      <c r="J234" s="39"/>
      <c r="K234" s="38"/>
      <c r="L234" s="39"/>
      <c r="M234" s="38"/>
      <c r="N234" s="38"/>
      <c r="O234" s="28">
        <f t="shared" si="46"/>
        <v>601400</v>
      </c>
      <c r="P234" s="59"/>
      <c r="Q234" s="60"/>
      <c r="R234" s="60"/>
    </row>
    <row r="235" spans="1:18" s="10" customFormat="1" ht="30" customHeight="1" x14ac:dyDescent="0.3">
      <c r="A235" s="50" t="s">
        <v>378</v>
      </c>
      <c r="B235" s="34" t="s">
        <v>377</v>
      </c>
      <c r="C235" s="38">
        <v>90700</v>
      </c>
      <c r="D235" s="38">
        <v>22700</v>
      </c>
      <c r="E235" s="38"/>
      <c r="F235" s="39"/>
      <c r="G235" s="38"/>
      <c r="H235" s="38"/>
      <c r="I235" s="39"/>
      <c r="J235" s="39"/>
      <c r="K235" s="38"/>
      <c r="L235" s="39"/>
      <c r="M235" s="38"/>
      <c r="N235" s="38"/>
      <c r="O235" s="28">
        <f t="shared" si="46"/>
        <v>90700</v>
      </c>
      <c r="P235" s="59"/>
      <c r="Q235" s="60"/>
      <c r="R235" s="60"/>
    </row>
    <row r="236" spans="1:18" s="10" customFormat="1" ht="29.25" customHeight="1" x14ac:dyDescent="0.3">
      <c r="A236" s="50" t="s">
        <v>430</v>
      </c>
      <c r="B236" s="61" t="s">
        <v>207</v>
      </c>
      <c r="C236" s="38">
        <v>417400</v>
      </c>
      <c r="D236" s="38">
        <v>410140</v>
      </c>
      <c r="E236" s="38"/>
      <c r="F236" s="38"/>
      <c r="G236" s="38"/>
      <c r="H236" s="38"/>
      <c r="I236" s="39"/>
      <c r="J236" s="39"/>
      <c r="K236" s="38"/>
      <c r="L236" s="39"/>
      <c r="M236" s="38"/>
      <c r="N236" s="38"/>
      <c r="O236" s="28">
        <f t="shared" si="46"/>
        <v>417400</v>
      </c>
      <c r="P236" s="59"/>
      <c r="Q236" s="60"/>
      <c r="R236" s="60"/>
    </row>
    <row r="237" spans="1:18" s="10" customFormat="1" ht="45.75" customHeight="1" x14ac:dyDescent="0.3">
      <c r="A237" s="50" t="s">
        <v>480</v>
      </c>
      <c r="B237" s="34" t="s">
        <v>188</v>
      </c>
      <c r="C237" s="38">
        <v>76200</v>
      </c>
      <c r="D237" s="38">
        <v>60000</v>
      </c>
      <c r="E237" s="38"/>
      <c r="F237" s="39"/>
      <c r="G237" s="38"/>
      <c r="H237" s="38"/>
      <c r="I237" s="39"/>
      <c r="J237" s="39"/>
      <c r="K237" s="38"/>
      <c r="L237" s="39"/>
      <c r="M237" s="38"/>
      <c r="N237" s="38"/>
      <c r="O237" s="28">
        <f>C237+F237+I237+L237</f>
        <v>76200</v>
      </c>
      <c r="P237" s="59"/>
      <c r="Q237" s="60"/>
      <c r="R237" s="60"/>
    </row>
    <row r="238" spans="1:18" s="10" customFormat="1" ht="29.25" customHeight="1" x14ac:dyDescent="0.3">
      <c r="A238" s="50" t="s">
        <v>481</v>
      </c>
      <c r="B238" s="61" t="s">
        <v>482</v>
      </c>
      <c r="C238" s="130">
        <f>137400+30520</f>
        <v>167920</v>
      </c>
      <c r="D238" s="38">
        <v>135000</v>
      </c>
      <c r="E238" s="38"/>
      <c r="F238" s="38"/>
      <c r="G238" s="38"/>
      <c r="H238" s="38"/>
      <c r="I238" s="39"/>
      <c r="J238" s="39"/>
      <c r="K238" s="38"/>
      <c r="L238" s="39"/>
      <c r="M238" s="38"/>
      <c r="N238" s="38"/>
      <c r="O238" s="28">
        <f>C238+F238+I238+L238</f>
        <v>167920</v>
      </c>
      <c r="P238" s="59"/>
      <c r="Q238" s="60"/>
      <c r="R238" s="60"/>
    </row>
    <row r="239" spans="1:18" s="10" customFormat="1" ht="29.25" customHeight="1" x14ac:dyDescent="0.3">
      <c r="A239" s="50" t="s">
        <v>483</v>
      </c>
      <c r="B239" s="61" t="s">
        <v>484</v>
      </c>
      <c r="C239" s="130">
        <f>142000-37000-43187+102351</f>
        <v>164164</v>
      </c>
      <c r="D239" s="38">
        <v>120000</v>
      </c>
      <c r="E239" s="38"/>
      <c r="F239" s="38"/>
      <c r="G239" s="38"/>
      <c r="H239" s="38"/>
      <c r="I239" s="39"/>
      <c r="J239" s="39"/>
      <c r="K239" s="38"/>
      <c r="L239" s="39"/>
      <c r="M239" s="38"/>
      <c r="N239" s="38"/>
      <c r="O239" s="28">
        <f>C239+F239+I239+L239</f>
        <v>164164</v>
      </c>
      <c r="P239" s="59"/>
      <c r="Q239" s="60"/>
      <c r="R239" s="60"/>
    </row>
    <row r="240" spans="1:18" s="10" customFormat="1" ht="30" customHeight="1" x14ac:dyDescent="0.3">
      <c r="A240" s="50" t="s">
        <v>485</v>
      </c>
      <c r="B240" s="34" t="s">
        <v>486</v>
      </c>
      <c r="C240" s="38">
        <v>48440</v>
      </c>
      <c r="D240" s="38">
        <v>40000</v>
      </c>
      <c r="E240" s="38"/>
      <c r="F240" s="39"/>
      <c r="G240" s="38"/>
      <c r="H240" s="38"/>
      <c r="I240" s="39"/>
      <c r="J240" s="39"/>
      <c r="K240" s="38"/>
      <c r="L240" s="39"/>
      <c r="M240" s="38"/>
      <c r="N240" s="38"/>
      <c r="O240" s="28">
        <f t="shared" si="46"/>
        <v>48440</v>
      </c>
      <c r="P240" s="59"/>
      <c r="Q240" s="60"/>
      <c r="R240" s="60"/>
    </row>
    <row r="241" spans="1:22" s="10" customFormat="1" ht="33" customHeight="1" x14ac:dyDescent="0.3">
      <c r="A241" s="50" t="s">
        <v>431</v>
      </c>
      <c r="B241" s="34" t="s">
        <v>487</v>
      </c>
      <c r="C241" s="38"/>
      <c r="D241" s="38"/>
      <c r="E241" s="38"/>
      <c r="F241" s="38">
        <v>6750</v>
      </c>
      <c r="G241" s="38"/>
      <c r="H241" s="38"/>
      <c r="I241" s="39"/>
      <c r="J241" s="39"/>
      <c r="K241" s="38"/>
      <c r="L241" s="39"/>
      <c r="M241" s="38"/>
      <c r="N241" s="38"/>
      <c r="O241" s="28">
        <f t="shared" si="46"/>
        <v>6750</v>
      </c>
      <c r="P241" s="59"/>
      <c r="R241" s="104"/>
      <c r="U241" s="104"/>
      <c r="V241" s="104"/>
    </row>
    <row r="242" spans="1:22" s="10" customFormat="1" ht="30.75" customHeight="1" x14ac:dyDescent="0.3">
      <c r="A242" s="50" t="s">
        <v>567</v>
      </c>
      <c r="B242" s="34" t="s">
        <v>432</v>
      </c>
      <c r="C242" s="38"/>
      <c r="D242" s="38"/>
      <c r="E242" s="38"/>
      <c r="F242" s="38">
        <v>445</v>
      </c>
      <c r="G242" s="38"/>
      <c r="H242" s="38"/>
      <c r="I242" s="39"/>
      <c r="J242" s="39"/>
      <c r="K242" s="38"/>
      <c r="L242" s="39"/>
      <c r="M242" s="38"/>
      <c r="N242" s="38"/>
      <c r="O242" s="28">
        <f t="shared" si="46"/>
        <v>445</v>
      </c>
      <c r="P242" s="59"/>
      <c r="R242" s="104"/>
      <c r="U242" s="104"/>
      <c r="V242" s="104"/>
    </row>
    <row r="243" spans="1:22" s="10" customFormat="1" ht="30.75" customHeight="1" x14ac:dyDescent="0.3">
      <c r="A243" s="131" t="s">
        <v>570</v>
      </c>
      <c r="B243" s="132" t="s">
        <v>568</v>
      </c>
      <c r="C243" s="38"/>
      <c r="D243" s="38"/>
      <c r="E243" s="38"/>
      <c r="F243" s="130">
        <v>18391</v>
      </c>
      <c r="G243" s="38"/>
      <c r="H243" s="38"/>
      <c r="I243" s="39"/>
      <c r="J243" s="39"/>
      <c r="K243" s="38"/>
      <c r="L243" s="39"/>
      <c r="M243" s="38"/>
      <c r="N243" s="38"/>
      <c r="O243" s="28">
        <f t="shared" si="46"/>
        <v>18391</v>
      </c>
      <c r="P243" s="59"/>
      <c r="R243" s="104"/>
      <c r="U243" s="104"/>
      <c r="V243" s="104"/>
    </row>
    <row r="244" spans="1:22" s="10" customFormat="1" ht="15.6" x14ac:dyDescent="0.3">
      <c r="A244" s="131" t="s">
        <v>572</v>
      </c>
      <c r="B244" s="132" t="s">
        <v>569</v>
      </c>
      <c r="C244" s="38"/>
      <c r="D244" s="38"/>
      <c r="E244" s="38"/>
      <c r="F244" s="130">
        <v>100000</v>
      </c>
      <c r="G244" s="38"/>
      <c r="H244" s="38"/>
      <c r="I244" s="39"/>
      <c r="J244" s="39"/>
      <c r="K244" s="38"/>
      <c r="L244" s="39"/>
      <c r="M244" s="38"/>
      <c r="N244" s="38"/>
      <c r="O244" s="28">
        <f>C244+F244+I244+L244</f>
        <v>100000</v>
      </c>
      <c r="P244" s="59"/>
      <c r="R244" s="104"/>
      <c r="U244" s="104"/>
      <c r="V244" s="104"/>
    </row>
    <row r="245" spans="1:22" s="4" customFormat="1" ht="18" customHeight="1" x14ac:dyDescent="0.25">
      <c r="A245" s="28" t="s">
        <v>148</v>
      </c>
      <c r="B245" s="43" t="s">
        <v>13</v>
      </c>
      <c r="C245" s="133">
        <f>246000-142000+142000+9700</f>
        <v>255700</v>
      </c>
      <c r="D245" s="28">
        <f>242500-120000+120000</f>
        <v>242500</v>
      </c>
      <c r="E245" s="28"/>
      <c r="F245" s="28">
        <f>16000-5000</f>
        <v>11000</v>
      </c>
      <c r="G245" s="28">
        <f>15770-4920</f>
        <v>10850</v>
      </c>
      <c r="H245" s="28"/>
      <c r="I245" s="28"/>
      <c r="J245" s="28"/>
      <c r="K245" s="28"/>
      <c r="L245" s="28">
        <v>237000</v>
      </c>
      <c r="M245" s="28">
        <v>147511</v>
      </c>
      <c r="N245" s="28"/>
      <c r="O245" s="28">
        <f t="shared" si="46"/>
        <v>503700</v>
      </c>
      <c r="P245" s="59"/>
      <c r="Q245" s="58"/>
      <c r="R245" s="58"/>
    </row>
    <row r="246" spans="1:22" s="4" customFormat="1" ht="16.5" customHeight="1" x14ac:dyDescent="0.25">
      <c r="A246" s="28" t="s">
        <v>149</v>
      </c>
      <c r="B246" s="43" t="s">
        <v>306</v>
      </c>
      <c r="C246" s="133">
        <f>152000+107000+43187-2900</f>
        <v>299287</v>
      </c>
      <c r="D246" s="28">
        <f>240000-120000</f>
        <v>120000</v>
      </c>
      <c r="E246" s="28"/>
      <c r="F246" s="28">
        <f>20000+545+4444</f>
        <v>24989</v>
      </c>
      <c r="G246" s="28">
        <f>14790+4920</f>
        <v>19710</v>
      </c>
      <c r="H246" s="28"/>
      <c r="I246" s="28"/>
      <c r="J246" s="28"/>
      <c r="K246" s="28"/>
      <c r="L246" s="133">
        <f>4800+181374-3770-90580</f>
        <v>91824</v>
      </c>
      <c r="M246" s="28">
        <v>178782</v>
      </c>
      <c r="N246" s="28"/>
      <c r="O246" s="28">
        <f>C246+F246+I246+L246</f>
        <v>416100</v>
      </c>
      <c r="P246" s="59"/>
      <c r="Q246" s="58"/>
      <c r="R246" s="58"/>
    </row>
    <row r="247" spans="1:22" s="7" customFormat="1" ht="18" customHeight="1" x14ac:dyDescent="0.25">
      <c r="A247" s="28"/>
      <c r="B247" s="51" t="s">
        <v>25</v>
      </c>
      <c r="C247" s="64">
        <f t="shared" ref="C247:N247" si="47">C12+C41+C48+C56+C88+C113+C144+C202</f>
        <v>29008938</v>
      </c>
      <c r="D247" s="64">
        <f t="shared" si="47"/>
        <v>16004721</v>
      </c>
      <c r="E247" s="64">
        <f t="shared" si="47"/>
        <v>0</v>
      </c>
      <c r="F247" s="64">
        <f t="shared" si="47"/>
        <v>7046972</v>
      </c>
      <c r="G247" s="64">
        <f t="shared" si="47"/>
        <v>2270955</v>
      </c>
      <c r="H247" s="64">
        <f t="shared" si="47"/>
        <v>390740</v>
      </c>
      <c r="I247" s="64">
        <f>I12+I41+I48+I56+I88+I113+I144+I202</f>
        <v>12355300</v>
      </c>
      <c r="J247" s="64">
        <f t="shared" si="47"/>
        <v>10193706</v>
      </c>
      <c r="K247" s="64">
        <f t="shared" si="47"/>
        <v>0</v>
      </c>
      <c r="L247" s="64">
        <f t="shared" si="47"/>
        <v>2704211</v>
      </c>
      <c r="M247" s="64">
        <f t="shared" si="47"/>
        <v>374423</v>
      </c>
      <c r="N247" s="64">
        <f t="shared" si="47"/>
        <v>0</v>
      </c>
      <c r="O247" s="64">
        <f>O12+O41+O48+O56+O88+O113+O144+O202</f>
        <v>51115421</v>
      </c>
      <c r="P247" s="59"/>
      <c r="Q247" s="90"/>
      <c r="R247" s="28"/>
    </row>
    <row r="248" spans="1:22" s="10" customFormat="1" ht="15.75" customHeight="1" x14ac:dyDescent="0.3">
      <c r="A248" s="28" t="s">
        <v>150</v>
      </c>
      <c r="B248" s="43" t="s">
        <v>24</v>
      </c>
      <c r="C248" s="39">
        <f>SUM(C250,C249)</f>
        <v>1083664</v>
      </c>
      <c r="D248" s="38"/>
      <c r="E248" s="38"/>
      <c r="F248" s="39">
        <f>SUM(F250)</f>
        <v>0</v>
      </c>
      <c r="G248" s="38"/>
      <c r="H248" s="38"/>
      <c r="I248" s="39"/>
      <c r="J248" s="39"/>
      <c r="K248" s="38"/>
      <c r="L248" s="39"/>
      <c r="M248" s="38"/>
      <c r="N248" s="38"/>
      <c r="O248" s="28">
        <f>C248+F248+I248+L248</f>
        <v>1083664</v>
      </c>
      <c r="P248" s="59"/>
      <c r="Q248" s="60"/>
      <c r="R248" s="60"/>
    </row>
    <row r="249" spans="1:22" s="7" customFormat="1" ht="18" customHeight="1" x14ac:dyDescent="0.25">
      <c r="A249" s="67" t="s">
        <v>343</v>
      </c>
      <c r="B249" s="46" t="s">
        <v>199</v>
      </c>
      <c r="C249" s="30">
        <f>927100-25000</f>
        <v>902100</v>
      </c>
      <c r="D249" s="32"/>
      <c r="E249" s="30"/>
      <c r="F249" s="32"/>
      <c r="G249" s="32"/>
      <c r="H249" s="32"/>
      <c r="I249" s="32"/>
      <c r="J249" s="32"/>
      <c r="K249" s="32"/>
      <c r="L249" s="32"/>
      <c r="M249" s="32"/>
      <c r="N249" s="32"/>
      <c r="O249" s="28">
        <f>C249+F249+I249+L249</f>
        <v>902100</v>
      </c>
      <c r="P249" s="59"/>
      <c r="Q249" s="59"/>
      <c r="R249" s="59"/>
    </row>
    <row r="250" spans="1:22" s="7" customFormat="1" ht="18" customHeight="1" x14ac:dyDescent="0.25">
      <c r="A250" s="67" t="s">
        <v>343</v>
      </c>
      <c r="B250" s="46" t="s">
        <v>488</v>
      </c>
      <c r="C250" s="30">
        <f>156564+25000</f>
        <v>181564</v>
      </c>
      <c r="D250" s="32"/>
      <c r="E250" s="30"/>
      <c r="F250" s="32"/>
      <c r="G250" s="32"/>
      <c r="H250" s="32"/>
      <c r="I250" s="32"/>
      <c r="J250" s="32"/>
      <c r="K250" s="32"/>
      <c r="L250" s="32"/>
      <c r="M250" s="32"/>
      <c r="N250" s="32"/>
      <c r="O250" s="28">
        <f>C250+F250+I250+L250</f>
        <v>181564</v>
      </c>
      <c r="P250" s="59"/>
      <c r="Q250" s="59"/>
      <c r="R250" s="59"/>
    </row>
    <row r="251" spans="1:22" s="2" customFormat="1" ht="18.75" customHeight="1" x14ac:dyDescent="0.3">
      <c r="A251" s="42"/>
      <c r="B251" s="33"/>
      <c r="C251" s="1"/>
      <c r="F251" s="9"/>
      <c r="I251" s="9"/>
      <c r="J251" s="9"/>
      <c r="K251" s="7"/>
      <c r="L251" s="9"/>
      <c r="O251" s="1"/>
      <c r="P251" s="1"/>
      <c r="Q251" s="17"/>
      <c r="R251" s="17"/>
    </row>
    <row r="252" spans="1:22" s="7" customFormat="1" ht="15" customHeight="1" x14ac:dyDescent="0.25">
      <c r="A252" s="42"/>
      <c r="B252" s="33"/>
      <c r="C252" s="9"/>
      <c r="F252" s="9"/>
      <c r="I252" s="9"/>
      <c r="J252" s="9"/>
      <c r="L252" s="9"/>
      <c r="Q252" s="59"/>
      <c r="R252" s="59"/>
    </row>
    <row r="253" spans="1:22" s="7" customFormat="1" ht="15" customHeight="1" x14ac:dyDescent="0.25">
      <c r="A253" s="42"/>
      <c r="B253" s="33"/>
      <c r="C253" s="82"/>
      <c r="D253" s="83"/>
      <c r="E253" s="83"/>
      <c r="F253" s="82"/>
      <c r="I253" s="9"/>
      <c r="J253" s="9"/>
      <c r="L253" s="9"/>
      <c r="Q253" s="59"/>
      <c r="R253" s="59"/>
    </row>
    <row r="254" spans="1:22" s="7" customFormat="1" ht="15" customHeight="1" x14ac:dyDescent="0.25">
      <c r="A254" s="42"/>
      <c r="B254" s="33"/>
      <c r="C254" s="9"/>
      <c r="F254" s="9"/>
      <c r="I254" s="9"/>
      <c r="J254" s="9"/>
      <c r="L254" s="9"/>
      <c r="Q254" s="59"/>
      <c r="R254" s="59"/>
    </row>
    <row r="255" spans="1:22" s="7" customFormat="1" ht="15" customHeight="1" x14ac:dyDescent="0.25">
      <c r="A255" s="42"/>
      <c r="B255" s="33"/>
      <c r="C255" s="9"/>
      <c r="F255" s="9"/>
      <c r="I255" s="9"/>
      <c r="J255" s="9"/>
      <c r="L255" s="9"/>
      <c r="Q255" s="59"/>
      <c r="R255" s="59"/>
    </row>
    <row r="256" spans="1:22" s="7" customFormat="1" ht="15" customHeight="1" x14ac:dyDescent="0.25">
      <c r="A256" s="42"/>
      <c r="B256" s="33"/>
      <c r="C256" s="9"/>
      <c r="F256" s="9"/>
      <c r="I256" s="9"/>
      <c r="J256" s="9"/>
      <c r="L256" s="9"/>
      <c r="Q256" s="59"/>
      <c r="R256" s="59"/>
    </row>
    <row r="257" spans="1:18" s="7" customFormat="1" ht="15" customHeight="1" x14ac:dyDescent="0.25">
      <c r="A257" s="42"/>
      <c r="B257" s="33"/>
      <c r="C257" s="9"/>
      <c r="F257" s="9"/>
      <c r="I257" s="9"/>
      <c r="J257" s="9"/>
      <c r="L257" s="9"/>
      <c r="Q257" s="59"/>
      <c r="R257" s="59"/>
    </row>
    <row r="258" spans="1:18" s="7" customFormat="1" ht="15" customHeight="1" x14ac:dyDescent="0.25">
      <c r="A258" s="42"/>
      <c r="B258" s="33"/>
      <c r="C258" s="9"/>
      <c r="F258" s="9"/>
      <c r="I258" s="9"/>
      <c r="J258" s="9"/>
      <c r="L258" s="9"/>
      <c r="Q258" s="59"/>
      <c r="R258" s="59"/>
    </row>
    <row r="259" spans="1:18" s="7" customFormat="1" ht="15" customHeight="1" x14ac:dyDescent="0.25">
      <c r="A259" s="42"/>
      <c r="B259" s="33"/>
      <c r="C259" s="9"/>
      <c r="F259" s="9"/>
      <c r="I259" s="9"/>
      <c r="J259" s="9"/>
      <c r="L259" s="9"/>
      <c r="Q259" s="59"/>
      <c r="R259" s="59"/>
    </row>
    <row r="260" spans="1:18" s="7" customFormat="1" ht="15" customHeight="1" x14ac:dyDescent="0.25">
      <c r="A260" s="42"/>
      <c r="B260" s="33"/>
      <c r="C260" s="9"/>
      <c r="F260" s="9"/>
      <c r="I260" s="9"/>
      <c r="J260" s="9"/>
      <c r="L260" s="9"/>
      <c r="Q260" s="59"/>
      <c r="R260" s="59"/>
    </row>
  </sheetData>
  <mergeCells count="13">
    <mergeCell ref="B7:K7"/>
    <mergeCell ref="C9:E9"/>
    <mergeCell ref="F9:H9"/>
    <mergeCell ref="I9:K9"/>
    <mergeCell ref="B40:O40"/>
    <mergeCell ref="L9:N9"/>
    <mergeCell ref="B11:O11"/>
    <mergeCell ref="B47:O47"/>
    <mergeCell ref="B87:O87"/>
    <mergeCell ref="B112:O112"/>
    <mergeCell ref="B143:O143"/>
    <mergeCell ref="B201:O201"/>
    <mergeCell ref="B55:O55"/>
  </mergeCells>
  <pageMargins left="0.47244094488188981" right="0" top="0.70866141732283472" bottom="0.28000000000000003" header="0.31496062992125984" footer="0.17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E45"/>
  <sheetViews>
    <sheetView topLeftCell="A6" workbookViewId="0">
      <selection activeCell="C27" sqref="C27"/>
    </sheetView>
  </sheetViews>
  <sheetFormatPr defaultRowHeight="13.2" x14ac:dyDescent="0.25"/>
  <cols>
    <col min="1" max="1" width="8.33203125" style="124" customWidth="1"/>
    <col min="2" max="2" width="65.6640625" style="125" customWidth="1"/>
    <col min="3" max="3" width="15.88671875" style="125" customWidth="1"/>
    <col min="4" max="4" width="3.6640625" style="125" customWidth="1"/>
    <col min="5" max="256" width="9.109375" style="125"/>
    <col min="257" max="257" width="8.33203125" style="125" customWidth="1"/>
    <col min="258" max="258" width="65.6640625" style="125" customWidth="1"/>
    <col min="259" max="259" width="15.88671875" style="125" customWidth="1"/>
    <col min="260" max="260" width="3.6640625" style="125" customWidth="1"/>
    <col min="261" max="512" width="9.109375" style="125"/>
    <col min="513" max="513" width="8.33203125" style="125" customWidth="1"/>
    <col min="514" max="514" width="65.6640625" style="125" customWidth="1"/>
    <col min="515" max="515" width="15.88671875" style="125" customWidth="1"/>
    <col min="516" max="516" width="3.6640625" style="125" customWidth="1"/>
    <col min="517" max="768" width="9.109375" style="125"/>
    <col min="769" max="769" width="8.33203125" style="125" customWidth="1"/>
    <col min="770" max="770" width="65.6640625" style="125" customWidth="1"/>
    <col min="771" max="771" width="15.88671875" style="125" customWidth="1"/>
    <col min="772" max="772" width="3.6640625" style="125" customWidth="1"/>
    <col min="773" max="1024" width="9.109375" style="125"/>
    <col min="1025" max="1025" width="8.33203125" style="125" customWidth="1"/>
    <col min="1026" max="1026" width="65.6640625" style="125" customWidth="1"/>
    <col min="1027" max="1027" width="15.88671875" style="125" customWidth="1"/>
    <col min="1028" max="1028" width="3.6640625" style="125" customWidth="1"/>
    <col min="1029" max="1280" width="9.109375" style="125"/>
    <col min="1281" max="1281" width="8.33203125" style="125" customWidth="1"/>
    <col min="1282" max="1282" width="65.6640625" style="125" customWidth="1"/>
    <col min="1283" max="1283" width="15.88671875" style="125" customWidth="1"/>
    <col min="1284" max="1284" width="3.6640625" style="125" customWidth="1"/>
    <col min="1285" max="1536" width="9.109375" style="125"/>
    <col min="1537" max="1537" width="8.33203125" style="125" customWidth="1"/>
    <col min="1538" max="1538" width="65.6640625" style="125" customWidth="1"/>
    <col min="1539" max="1539" width="15.88671875" style="125" customWidth="1"/>
    <col min="1540" max="1540" width="3.6640625" style="125" customWidth="1"/>
    <col min="1541" max="1792" width="9.109375" style="125"/>
    <col min="1793" max="1793" width="8.33203125" style="125" customWidth="1"/>
    <col min="1794" max="1794" width="65.6640625" style="125" customWidth="1"/>
    <col min="1795" max="1795" width="15.88671875" style="125" customWidth="1"/>
    <col min="1796" max="1796" width="3.6640625" style="125" customWidth="1"/>
    <col min="1797" max="2048" width="9.109375" style="125"/>
    <col min="2049" max="2049" width="8.33203125" style="125" customWidth="1"/>
    <col min="2050" max="2050" width="65.6640625" style="125" customWidth="1"/>
    <col min="2051" max="2051" width="15.88671875" style="125" customWidth="1"/>
    <col min="2052" max="2052" width="3.6640625" style="125" customWidth="1"/>
    <col min="2053" max="2304" width="9.109375" style="125"/>
    <col min="2305" max="2305" width="8.33203125" style="125" customWidth="1"/>
    <col min="2306" max="2306" width="65.6640625" style="125" customWidth="1"/>
    <col min="2307" max="2307" width="15.88671875" style="125" customWidth="1"/>
    <col min="2308" max="2308" width="3.6640625" style="125" customWidth="1"/>
    <col min="2309" max="2560" width="9.109375" style="125"/>
    <col min="2561" max="2561" width="8.33203125" style="125" customWidth="1"/>
    <col min="2562" max="2562" width="65.6640625" style="125" customWidth="1"/>
    <col min="2563" max="2563" width="15.88671875" style="125" customWidth="1"/>
    <col min="2564" max="2564" width="3.6640625" style="125" customWidth="1"/>
    <col min="2565" max="2816" width="9.109375" style="125"/>
    <col min="2817" max="2817" width="8.33203125" style="125" customWidth="1"/>
    <col min="2818" max="2818" width="65.6640625" style="125" customWidth="1"/>
    <col min="2819" max="2819" width="15.88671875" style="125" customWidth="1"/>
    <col min="2820" max="2820" width="3.6640625" style="125" customWidth="1"/>
    <col min="2821" max="3072" width="9.109375" style="125"/>
    <col min="3073" max="3073" width="8.33203125" style="125" customWidth="1"/>
    <col min="3074" max="3074" width="65.6640625" style="125" customWidth="1"/>
    <col min="3075" max="3075" width="15.88671875" style="125" customWidth="1"/>
    <col min="3076" max="3076" width="3.6640625" style="125" customWidth="1"/>
    <col min="3077" max="3328" width="9.109375" style="125"/>
    <col min="3329" max="3329" width="8.33203125" style="125" customWidth="1"/>
    <col min="3330" max="3330" width="65.6640625" style="125" customWidth="1"/>
    <col min="3331" max="3331" width="15.88671875" style="125" customWidth="1"/>
    <col min="3332" max="3332" width="3.6640625" style="125" customWidth="1"/>
    <col min="3333" max="3584" width="9.109375" style="125"/>
    <col min="3585" max="3585" width="8.33203125" style="125" customWidth="1"/>
    <col min="3586" max="3586" width="65.6640625" style="125" customWidth="1"/>
    <col min="3587" max="3587" width="15.88671875" style="125" customWidth="1"/>
    <col min="3588" max="3588" width="3.6640625" style="125" customWidth="1"/>
    <col min="3589" max="3840" width="9.109375" style="125"/>
    <col min="3841" max="3841" width="8.33203125" style="125" customWidth="1"/>
    <col min="3842" max="3842" width="65.6640625" style="125" customWidth="1"/>
    <col min="3843" max="3843" width="15.88671875" style="125" customWidth="1"/>
    <col min="3844" max="3844" width="3.6640625" style="125" customWidth="1"/>
    <col min="3845" max="4096" width="9.109375" style="125"/>
    <col min="4097" max="4097" width="8.33203125" style="125" customWidth="1"/>
    <col min="4098" max="4098" width="65.6640625" style="125" customWidth="1"/>
    <col min="4099" max="4099" width="15.88671875" style="125" customWidth="1"/>
    <col min="4100" max="4100" width="3.6640625" style="125" customWidth="1"/>
    <col min="4101" max="4352" width="9.109375" style="125"/>
    <col min="4353" max="4353" width="8.33203125" style="125" customWidth="1"/>
    <col min="4354" max="4354" width="65.6640625" style="125" customWidth="1"/>
    <col min="4355" max="4355" width="15.88671875" style="125" customWidth="1"/>
    <col min="4356" max="4356" width="3.6640625" style="125" customWidth="1"/>
    <col min="4357" max="4608" width="9.109375" style="125"/>
    <col min="4609" max="4609" width="8.33203125" style="125" customWidth="1"/>
    <col min="4610" max="4610" width="65.6640625" style="125" customWidth="1"/>
    <col min="4611" max="4611" width="15.88671875" style="125" customWidth="1"/>
    <col min="4612" max="4612" width="3.6640625" style="125" customWidth="1"/>
    <col min="4613" max="4864" width="9.109375" style="125"/>
    <col min="4865" max="4865" width="8.33203125" style="125" customWidth="1"/>
    <col min="4866" max="4866" width="65.6640625" style="125" customWidth="1"/>
    <col min="4867" max="4867" width="15.88671875" style="125" customWidth="1"/>
    <col min="4868" max="4868" width="3.6640625" style="125" customWidth="1"/>
    <col min="4869" max="5120" width="9.109375" style="125"/>
    <col min="5121" max="5121" width="8.33203125" style="125" customWidth="1"/>
    <col min="5122" max="5122" width="65.6640625" style="125" customWidth="1"/>
    <col min="5123" max="5123" width="15.88671875" style="125" customWidth="1"/>
    <col min="5124" max="5124" width="3.6640625" style="125" customWidth="1"/>
    <col min="5125" max="5376" width="9.109375" style="125"/>
    <col min="5377" max="5377" width="8.33203125" style="125" customWidth="1"/>
    <col min="5378" max="5378" width="65.6640625" style="125" customWidth="1"/>
    <col min="5379" max="5379" width="15.88671875" style="125" customWidth="1"/>
    <col min="5380" max="5380" width="3.6640625" style="125" customWidth="1"/>
    <col min="5381" max="5632" width="9.109375" style="125"/>
    <col min="5633" max="5633" width="8.33203125" style="125" customWidth="1"/>
    <col min="5634" max="5634" width="65.6640625" style="125" customWidth="1"/>
    <col min="5635" max="5635" width="15.88671875" style="125" customWidth="1"/>
    <col min="5636" max="5636" width="3.6640625" style="125" customWidth="1"/>
    <col min="5637" max="5888" width="9.109375" style="125"/>
    <col min="5889" max="5889" width="8.33203125" style="125" customWidth="1"/>
    <col min="5890" max="5890" width="65.6640625" style="125" customWidth="1"/>
    <col min="5891" max="5891" width="15.88671875" style="125" customWidth="1"/>
    <col min="5892" max="5892" width="3.6640625" style="125" customWidth="1"/>
    <col min="5893" max="6144" width="9.109375" style="125"/>
    <col min="6145" max="6145" width="8.33203125" style="125" customWidth="1"/>
    <col min="6146" max="6146" width="65.6640625" style="125" customWidth="1"/>
    <col min="6147" max="6147" width="15.88671875" style="125" customWidth="1"/>
    <col min="6148" max="6148" width="3.6640625" style="125" customWidth="1"/>
    <col min="6149" max="6400" width="9.109375" style="125"/>
    <col min="6401" max="6401" width="8.33203125" style="125" customWidth="1"/>
    <col min="6402" max="6402" width="65.6640625" style="125" customWidth="1"/>
    <col min="6403" max="6403" width="15.88671875" style="125" customWidth="1"/>
    <col min="6404" max="6404" width="3.6640625" style="125" customWidth="1"/>
    <col min="6405" max="6656" width="9.109375" style="125"/>
    <col min="6657" max="6657" width="8.33203125" style="125" customWidth="1"/>
    <col min="6658" max="6658" width="65.6640625" style="125" customWidth="1"/>
    <col min="6659" max="6659" width="15.88671875" style="125" customWidth="1"/>
    <col min="6660" max="6660" width="3.6640625" style="125" customWidth="1"/>
    <col min="6661" max="6912" width="9.109375" style="125"/>
    <col min="6913" max="6913" width="8.33203125" style="125" customWidth="1"/>
    <col min="6914" max="6914" width="65.6640625" style="125" customWidth="1"/>
    <col min="6915" max="6915" width="15.88671875" style="125" customWidth="1"/>
    <col min="6916" max="6916" width="3.6640625" style="125" customWidth="1"/>
    <col min="6917" max="7168" width="9.109375" style="125"/>
    <col min="7169" max="7169" width="8.33203125" style="125" customWidth="1"/>
    <col min="7170" max="7170" width="65.6640625" style="125" customWidth="1"/>
    <col min="7171" max="7171" width="15.88671875" style="125" customWidth="1"/>
    <col min="7172" max="7172" width="3.6640625" style="125" customWidth="1"/>
    <col min="7173" max="7424" width="9.109375" style="125"/>
    <col min="7425" max="7425" width="8.33203125" style="125" customWidth="1"/>
    <col min="7426" max="7426" width="65.6640625" style="125" customWidth="1"/>
    <col min="7427" max="7427" width="15.88671875" style="125" customWidth="1"/>
    <col min="7428" max="7428" width="3.6640625" style="125" customWidth="1"/>
    <col min="7429" max="7680" width="9.109375" style="125"/>
    <col min="7681" max="7681" width="8.33203125" style="125" customWidth="1"/>
    <col min="7682" max="7682" width="65.6640625" style="125" customWidth="1"/>
    <col min="7683" max="7683" width="15.88671875" style="125" customWidth="1"/>
    <col min="7684" max="7684" width="3.6640625" style="125" customWidth="1"/>
    <col min="7685" max="7936" width="9.109375" style="125"/>
    <col min="7937" max="7937" width="8.33203125" style="125" customWidth="1"/>
    <col min="7938" max="7938" width="65.6640625" style="125" customWidth="1"/>
    <col min="7939" max="7939" width="15.88671875" style="125" customWidth="1"/>
    <col min="7940" max="7940" width="3.6640625" style="125" customWidth="1"/>
    <col min="7941" max="8192" width="9.109375" style="125"/>
    <col min="8193" max="8193" width="8.33203125" style="125" customWidth="1"/>
    <col min="8194" max="8194" width="65.6640625" style="125" customWidth="1"/>
    <col min="8195" max="8195" width="15.88671875" style="125" customWidth="1"/>
    <col min="8196" max="8196" width="3.6640625" style="125" customWidth="1"/>
    <col min="8197" max="8448" width="9.109375" style="125"/>
    <col min="8449" max="8449" width="8.33203125" style="125" customWidth="1"/>
    <col min="8450" max="8450" width="65.6640625" style="125" customWidth="1"/>
    <col min="8451" max="8451" width="15.88671875" style="125" customWidth="1"/>
    <col min="8452" max="8452" width="3.6640625" style="125" customWidth="1"/>
    <col min="8453" max="8704" width="9.109375" style="125"/>
    <col min="8705" max="8705" width="8.33203125" style="125" customWidth="1"/>
    <col min="8706" max="8706" width="65.6640625" style="125" customWidth="1"/>
    <col min="8707" max="8707" width="15.88671875" style="125" customWidth="1"/>
    <col min="8708" max="8708" width="3.6640625" style="125" customWidth="1"/>
    <col min="8709" max="8960" width="9.109375" style="125"/>
    <col min="8961" max="8961" width="8.33203125" style="125" customWidth="1"/>
    <col min="8962" max="8962" width="65.6640625" style="125" customWidth="1"/>
    <col min="8963" max="8963" width="15.88671875" style="125" customWidth="1"/>
    <col min="8964" max="8964" width="3.6640625" style="125" customWidth="1"/>
    <col min="8965" max="9216" width="9.109375" style="125"/>
    <col min="9217" max="9217" width="8.33203125" style="125" customWidth="1"/>
    <col min="9218" max="9218" width="65.6640625" style="125" customWidth="1"/>
    <col min="9219" max="9219" width="15.88671875" style="125" customWidth="1"/>
    <col min="9220" max="9220" width="3.6640625" style="125" customWidth="1"/>
    <col min="9221" max="9472" width="9.109375" style="125"/>
    <col min="9473" max="9473" width="8.33203125" style="125" customWidth="1"/>
    <col min="9474" max="9474" width="65.6640625" style="125" customWidth="1"/>
    <col min="9475" max="9475" width="15.88671875" style="125" customWidth="1"/>
    <col min="9476" max="9476" width="3.6640625" style="125" customWidth="1"/>
    <col min="9477" max="9728" width="9.109375" style="125"/>
    <col min="9729" max="9729" width="8.33203125" style="125" customWidth="1"/>
    <col min="9730" max="9730" width="65.6640625" style="125" customWidth="1"/>
    <col min="9731" max="9731" width="15.88671875" style="125" customWidth="1"/>
    <col min="9732" max="9732" width="3.6640625" style="125" customWidth="1"/>
    <col min="9733" max="9984" width="9.109375" style="125"/>
    <col min="9985" max="9985" width="8.33203125" style="125" customWidth="1"/>
    <col min="9986" max="9986" width="65.6640625" style="125" customWidth="1"/>
    <col min="9987" max="9987" width="15.88671875" style="125" customWidth="1"/>
    <col min="9988" max="9988" width="3.6640625" style="125" customWidth="1"/>
    <col min="9989" max="10240" width="9.109375" style="125"/>
    <col min="10241" max="10241" width="8.33203125" style="125" customWidth="1"/>
    <col min="10242" max="10242" width="65.6640625" style="125" customWidth="1"/>
    <col min="10243" max="10243" width="15.88671875" style="125" customWidth="1"/>
    <col min="10244" max="10244" width="3.6640625" style="125" customWidth="1"/>
    <col min="10245" max="10496" width="9.109375" style="125"/>
    <col min="10497" max="10497" width="8.33203125" style="125" customWidth="1"/>
    <col min="10498" max="10498" width="65.6640625" style="125" customWidth="1"/>
    <col min="10499" max="10499" width="15.88671875" style="125" customWidth="1"/>
    <col min="10500" max="10500" width="3.6640625" style="125" customWidth="1"/>
    <col min="10501" max="10752" width="9.109375" style="125"/>
    <col min="10753" max="10753" width="8.33203125" style="125" customWidth="1"/>
    <col min="10754" max="10754" width="65.6640625" style="125" customWidth="1"/>
    <col min="10755" max="10755" width="15.88671875" style="125" customWidth="1"/>
    <col min="10756" max="10756" width="3.6640625" style="125" customWidth="1"/>
    <col min="10757" max="11008" width="9.109375" style="125"/>
    <col min="11009" max="11009" width="8.33203125" style="125" customWidth="1"/>
    <col min="11010" max="11010" width="65.6640625" style="125" customWidth="1"/>
    <col min="11011" max="11011" width="15.88671875" style="125" customWidth="1"/>
    <col min="11012" max="11012" width="3.6640625" style="125" customWidth="1"/>
    <col min="11013" max="11264" width="9.109375" style="125"/>
    <col min="11265" max="11265" width="8.33203125" style="125" customWidth="1"/>
    <col min="11266" max="11266" width="65.6640625" style="125" customWidth="1"/>
    <col min="11267" max="11267" width="15.88671875" style="125" customWidth="1"/>
    <col min="11268" max="11268" width="3.6640625" style="125" customWidth="1"/>
    <col min="11269" max="11520" width="9.109375" style="125"/>
    <col min="11521" max="11521" width="8.33203125" style="125" customWidth="1"/>
    <col min="11522" max="11522" width="65.6640625" style="125" customWidth="1"/>
    <col min="11523" max="11523" width="15.88671875" style="125" customWidth="1"/>
    <col min="11524" max="11524" width="3.6640625" style="125" customWidth="1"/>
    <col min="11525" max="11776" width="9.109375" style="125"/>
    <col min="11777" max="11777" width="8.33203125" style="125" customWidth="1"/>
    <col min="11778" max="11778" width="65.6640625" style="125" customWidth="1"/>
    <col min="11779" max="11779" width="15.88671875" style="125" customWidth="1"/>
    <col min="11780" max="11780" width="3.6640625" style="125" customWidth="1"/>
    <col min="11781" max="12032" width="9.109375" style="125"/>
    <col min="12033" max="12033" width="8.33203125" style="125" customWidth="1"/>
    <col min="12034" max="12034" width="65.6640625" style="125" customWidth="1"/>
    <col min="12035" max="12035" width="15.88671875" style="125" customWidth="1"/>
    <col min="12036" max="12036" width="3.6640625" style="125" customWidth="1"/>
    <col min="12037" max="12288" width="9.109375" style="125"/>
    <col min="12289" max="12289" width="8.33203125" style="125" customWidth="1"/>
    <col min="12290" max="12290" width="65.6640625" style="125" customWidth="1"/>
    <col min="12291" max="12291" width="15.88671875" style="125" customWidth="1"/>
    <col min="12292" max="12292" width="3.6640625" style="125" customWidth="1"/>
    <col min="12293" max="12544" width="9.109375" style="125"/>
    <col min="12545" max="12545" width="8.33203125" style="125" customWidth="1"/>
    <col min="12546" max="12546" width="65.6640625" style="125" customWidth="1"/>
    <col min="12547" max="12547" width="15.88671875" style="125" customWidth="1"/>
    <col min="12548" max="12548" width="3.6640625" style="125" customWidth="1"/>
    <col min="12549" max="12800" width="9.109375" style="125"/>
    <col min="12801" max="12801" width="8.33203125" style="125" customWidth="1"/>
    <col min="12802" max="12802" width="65.6640625" style="125" customWidth="1"/>
    <col min="12803" max="12803" width="15.88671875" style="125" customWidth="1"/>
    <col min="12804" max="12804" width="3.6640625" style="125" customWidth="1"/>
    <col min="12805" max="13056" width="9.109375" style="125"/>
    <col min="13057" max="13057" width="8.33203125" style="125" customWidth="1"/>
    <col min="13058" max="13058" width="65.6640625" style="125" customWidth="1"/>
    <col min="13059" max="13059" width="15.88671875" style="125" customWidth="1"/>
    <col min="13060" max="13060" width="3.6640625" style="125" customWidth="1"/>
    <col min="13061" max="13312" width="9.109375" style="125"/>
    <col min="13313" max="13313" width="8.33203125" style="125" customWidth="1"/>
    <col min="13314" max="13314" width="65.6640625" style="125" customWidth="1"/>
    <col min="13315" max="13315" width="15.88671875" style="125" customWidth="1"/>
    <col min="13316" max="13316" width="3.6640625" style="125" customWidth="1"/>
    <col min="13317" max="13568" width="9.109375" style="125"/>
    <col min="13569" max="13569" width="8.33203125" style="125" customWidth="1"/>
    <col min="13570" max="13570" width="65.6640625" style="125" customWidth="1"/>
    <col min="13571" max="13571" width="15.88671875" style="125" customWidth="1"/>
    <col min="13572" max="13572" width="3.6640625" style="125" customWidth="1"/>
    <col min="13573" max="13824" width="9.109375" style="125"/>
    <col min="13825" max="13825" width="8.33203125" style="125" customWidth="1"/>
    <col min="13826" max="13826" width="65.6640625" style="125" customWidth="1"/>
    <col min="13827" max="13827" width="15.88671875" style="125" customWidth="1"/>
    <col min="13828" max="13828" width="3.6640625" style="125" customWidth="1"/>
    <col min="13829" max="14080" width="9.109375" style="125"/>
    <col min="14081" max="14081" width="8.33203125" style="125" customWidth="1"/>
    <col min="14082" max="14082" width="65.6640625" style="125" customWidth="1"/>
    <col min="14083" max="14083" width="15.88671875" style="125" customWidth="1"/>
    <col min="14084" max="14084" width="3.6640625" style="125" customWidth="1"/>
    <col min="14085" max="14336" width="9.109375" style="125"/>
    <col min="14337" max="14337" width="8.33203125" style="125" customWidth="1"/>
    <col min="14338" max="14338" width="65.6640625" style="125" customWidth="1"/>
    <col min="14339" max="14339" width="15.88671875" style="125" customWidth="1"/>
    <col min="14340" max="14340" width="3.6640625" style="125" customWidth="1"/>
    <col min="14341" max="14592" width="9.109375" style="125"/>
    <col min="14593" max="14593" width="8.33203125" style="125" customWidth="1"/>
    <col min="14594" max="14594" width="65.6640625" style="125" customWidth="1"/>
    <col min="14595" max="14595" width="15.88671875" style="125" customWidth="1"/>
    <col min="14596" max="14596" width="3.6640625" style="125" customWidth="1"/>
    <col min="14597" max="14848" width="9.109375" style="125"/>
    <col min="14849" max="14849" width="8.33203125" style="125" customWidth="1"/>
    <col min="14850" max="14850" width="65.6640625" style="125" customWidth="1"/>
    <col min="14851" max="14851" width="15.88671875" style="125" customWidth="1"/>
    <col min="14852" max="14852" width="3.6640625" style="125" customWidth="1"/>
    <col min="14853" max="15104" width="9.109375" style="125"/>
    <col min="15105" max="15105" width="8.33203125" style="125" customWidth="1"/>
    <col min="15106" max="15106" width="65.6640625" style="125" customWidth="1"/>
    <col min="15107" max="15107" width="15.88671875" style="125" customWidth="1"/>
    <col min="15108" max="15108" width="3.6640625" style="125" customWidth="1"/>
    <col min="15109" max="15360" width="9.109375" style="125"/>
    <col min="15361" max="15361" width="8.33203125" style="125" customWidth="1"/>
    <col min="15362" max="15362" width="65.6640625" style="125" customWidth="1"/>
    <col min="15363" max="15363" width="15.88671875" style="125" customWidth="1"/>
    <col min="15364" max="15364" width="3.6640625" style="125" customWidth="1"/>
    <col min="15365" max="15616" width="9.109375" style="125"/>
    <col min="15617" max="15617" width="8.33203125" style="125" customWidth="1"/>
    <col min="15618" max="15618" width="65.6640625" style="125" customWidth="1"/>
    <col min="15619" max="15619" width="15.88671875" style="125" customWidth="1"/>
    <col min="15620" max="15620" width="3.6640625" style="125" customWidth="1"/>
    <col min="15621" max="15872" width="9.109375" style="125"/>
    <col min="15873" max="15873" width="8.33203125" style="125" customWidth="1"/>
    <col min="15874" max="15874" width="65.6640625" style="125" customWidth="1"/>
    <col min="15875" max="15875" width="15.88671875" style="125" customWidth="1"/>
    <col min="15876" max="15876" width="3.6640625" style="125" customWidth="1"/>
    <col min="15877" max="16128" width="9.109375" style="125"/>
    <col min="16129" max="16129" width="8.33203125" style="125" customWidth="1"/>
    <col min="16130" max="16130" width="65.6640625" style="125" customWidth="1"/>
    <col min="16131" max="16131" width="15.88671875" style="125" customWidth="1"/>
    <col min="16132" max="16132" width="3.6640625" style="125" customWidth="1"/>
    <col min="16133" max="16384" width="9.109375" style="125"/>
  </cols>
  <sheetData>
    <row r="1" spans="1:5" s="8" customFormat="1" ht="15.6" x14ac:dyDescent="0.3">
      <c r="A1" s="7"/>
      <c r="B1" s="137" t="s">
        <v>209</v>
      </c>
      <c r="C1" s="137"/>
    </row>
    <row r="2" spans="1:5" s="8" customFormat="1" ht="15.6" x14ac:dyDescent="0.3">
      <c r="A2" s="7"/>
      <c r="B2" s="137" t="s">
        <v>489</v>
      </c>
      <c r="C2" s="137"/>
    </row>
    <row r="3" spans="1:5" s="8" customFormat="1" ht="15.6" x14ac:dyDescent="0.3">
      <c r="A3" s="7"/>
      <c r="B3" s="16" t="s">
        <v>530</v>
      </c>
      <c r="C3" s="16"/>
    </row>
    <row r="4" spans="1:5" s="8" customFormat="1" ht="15.6" x14ac:dyDescent="0.3">
      <c r="A4" s="7"/>
      <c r="B4" s="16" t="s">
        <v>566</v>
      </c>
      <c r="C4" s="16"/>
    </row>
    <row r="5" spans="1:5" s="8" customFormat="1" ht="15.6" x14ac:dyDescent="0.3">
      <c r="A5" s="7"/>
      <c r="B5" s="16" t="s">
        <v>564</v>
      </c>
      <c r="C5" s="17"/>
    </row>
    <row r="6" spans="1:5" s="15" customFormat="1" ht="15.6" x14ac:dyDescent="0.3">
      <c r="A6" s="108"/>
      <c r="B6" s="17"/>
      <c r="C6" s="17"/>
      <c r="D6" s="2"/>
      <c r="E6" s="2"/>
    </row>
    <row r="7" spans="1:5" s="15" customFormat="1" ht="15.6" x14ac:dyDescent="0.3">
      <c r="A7" s="138" t="s">
        <v>533</v>
      </c>
      <c r="B7" s="138"/>
      <c r="C7" s="138"/>
    </row>
    <row r="8" spans="1:5" s="15" customFormat="1" ht="15.6" x14ac:dyDescent="0.3">
      <c r="A8" s="138" t="s">
        <v>534</v>
      </c>
      <c r="B8" s="138"/>
      <c r="C8" s="138"/>
    </row>
    <row r="9" spans="1:5" s="15" customFormat="1" ht="13.8" x14ac:dyDescent="0.25">
      <c r="A9" s="108"/>
    </row>
    <row r="10" spans="1:5" s="15" customFormat="1" ht="13.8" x14ac:dyDescent="0.25">
      <c r="A10" s="108"/>
    </row>
    <row r="11" spans="1:5" s="15" customFormat="1" ht="15" customHeight="1" x14ac:dyDescent="0.25">
      <c r="A11" s="152" t="s">
        <v>37</v>
      </c>
      <c r="B11" s="152" t="s">
        <v>535</v>
      </c>
      <c r="C11" s="152" t="s">
        <v>536</v>
      </c>
    </row>
    <row r="12" spans="1:5" s="15" customFormat="1" ht="18.75" customHeight="1" x14ac:dyDescent="0.25">
      <c r="A12" s="153"/>
      <c r="B12" s="153"/>
      <c r="C12" s="153"/>
    </row>
    <row r="13" spans="1:5" s="15" customFormat="1" ht="15.6" x14ac:dyDescent="0.25">
      <c r="A13" s="109" t="s">
        <v>50</v>
      </c>
      <c r="B13" s="110" t="s">
        <v>537</v>
      </c>
      <c r="C13" s="111">
        <v>243700</v>
      </c>
    </row>
    <row r="14" spans="1:5" s="15" customFormat="1" ht="15.6" x14ac:dyDescent="0.25">
      <c r="A14" s="109" t="s">
        <v>49</v>
      </c>
      <c r="B14" s="110" t="s">
        <v>538</v>
      </c>
      <c r="C14" s="111">
        <v>259000</v>
      </c>
    </row>
    <row r="15" spans="1:5" s="15" customFormat="1" ht="15.6" x14ac:dyDescent="0.25">
      <c r="A15" s="109" t="s">
        <v>51</v>
      </c>
      <c r="B15" s="110" t="s">
        <v>539</v>
      </c>
      <c r="C15" s="127">
        <f>38900-600</f>
        <v>38300</v>
      </c>
    </row>
    <row r="16" spans="1:5" s="15" customFormat="1" ht="15.6" x14ac:dyDescent="0.25">
      <c r="A16" s="109" t="s">
        <v>52</v>
      </c>
      <c r="B16" s="110" t="s">
        <v>540</v>
      </c>
      <c r="C16" s="112">
        <v>824200</v>
      </c>
    </row>
    <row r="17" spans="1:3" s="15" customFormat="1" ht="15.6" x14ac:dyDescent="0.25">
      <c r="A17" s="109" t="s">
        <v>53</v>
      </c>
      <c r="B17" s="113" t="s">
        <v>541</v>
      </c>
      <c r="C17" s="112">
        <v>4100</v>
      </c>
    </row>
    <row r="18" spans="1:3" s="15" customFormat="1" ht="15.6" x14ac:dyDescent="0.25">
      <c r="A18" s="109" t="s">
        <v>54</v>
      </c>
      <c r="B18" s="110" t="s">
        <v>542</v>
      </c>
      <c r="C18" s="112">
        <v>25200</v>
      </c>
    </row>
    <row r="19" spans="1:3" s="15" customFormat="1" ht="31.2" x14ac:dyDescent="0.25">
      <c r="A19" s="109" t="s">
        <v>55</v>
      </c>
      <c r="B19" s="110" t="s">
        <v>543</v>
      </c>
      <c r="C19" s="111">
        <v>600</v>
      </c>
    </row>
    <row r="20" spans="1:3" s="15" customFormat="1" ht="31.2" x14ac:dyDescent="0.25">
      <c r="A20" s="109" t="s">
        <v>56</v>
      </c>
      <c r="B20" s="110" t="s">
        <v>544</v>
      </c>
      <c r="C20" s="111">
        <v>500</v>
      </c>
    </row>
    <row r="21" spans="1:3" s="15" customFormat="1" ht="31.2" x14ac:dyDescent="0.25">
      <c r="A21" s="109" t="s">
        <v>57</v>
      </c>
      <c r="B21" s="110" t="s">
        <v>545</v>
      </c>
      <c r="C21" s="112">
        <v>2700</v>
      </c>
    </row>
    <row r="22" spans="1:3" s="15" customFormat="1" ht="15.6" x14ac:dyDescent="0.25">
      <c r="A22" s="109" t="s">
        <v>58</v>
      </c>
      <c r="B22" s="110" t="s">
        <v>546</v>
      </c>
      <c r="C22" s="112">
        <v>9000</v>
      </c>
    </row>
    <row r="23" spans="1:3" s="15" customFormat="1" ht="15.6" x14ac:dyDescent="0.25">
      <c r="A23" s="109" t="s">
        <v>59</v>
      </c>
      <c r="B23" s="110" t="s">
        <v>547</v>
      </c>
      <c r="C23" s="111">
        <v>25700</v>
      </c>
    </row>
    <row r="24" spans="1:3" s="15" customFormat="1" ht="31.2" x14ac:dyDescent="0.25">
      <c r="A24" s="109" t="s">
        <v>60</v>
      </c>
      <c r="B24" s="110" t="s">
        <v>548</v>
      </c>
      <c r="C24" s="112">
        <f>16500-4600</f>
        <v>11900</v>
      </c>
    </row>
    <row r="25" spans="1:3" s="15" customFormat="1" ht="15.6" x14ac:dyDescent="0.25">
      <c r="A25" s="109" t="s">
        <v>549</v>
      </c>
      <c r="B25" s="110" t="s">
        <v>550</v>
      </c>
      <c r="C25" s="128">
        <f>219700-4400</f>
        <v>215300</v>
      </c>
    </row>
    <row r="26" spans="1:3" s="15" customFormat="1" ht="15.6" x14ac:dyDescent="0.25">
      <c r="A26" s="109" t="s">
        <v>61</v>
      </c>
      <c r="B26" s="110" t="s">
        <v>551</v>
      </c>
      <c r="C26" s="111">
        <v>499300</v>
      </c>
    </row>
    <row r="27" spans="1:3" s="15" customFormat="1" ht="15.6" x14ac:dyDescent="0.25">
      <c r="A27" s="109" t="s">
        <v>91</v>
      </c>
      <c r="B27" s="110" t="s">
        <v>552</v>
      </c>
      <c r="C27" s="128">
        <f>1389800+103500+143000</f>
        <v>1636300</v>
      </c>
    </row>
    <row r="28" spans="1:3" s="15" customFormat="1" ht="15.6" x14ac:dyDescent="0.25">
      <c r="A28" s="109" t="s">
        <v>92</v>
      </c>
      <c r="B28" s="110" t="s">
        <v>553</v>
      </c>
      <c r="C28" s="111">
        <v>19300</v>
      </c>
    </row>
    <row r="29" spans="1:3" s="15" customFormat="1" ht="15.6" x14ac:dyDescent="0.25">
      <c r="A29" s="109" t="s">
        <v>93</v>
      </c>
      <c r="B29" s="114" t="s">
        <v>554</v>
      </c>
      <c r="C29" s="115">
        <v>157500</v>
      </c>
    </row>
    <row r="30" spans="1:3" s="15" customFormat="1" ht="15.6" x14ac:dyDescent="0.25">
      <c r="A30" s="109" t="s">
        <v>94</v>
      </c>
      <c r="B30" s="110" t="s">
        <v>555</v>
      </c>
      <c r="C30" s="111">
        <v>0</v>
      </c>
    </row>
    <row r="31" spans="1:3" s="15" customFormat="1" ht="15.6" x14ac:dyDescent="0.25">
      <c r="A31" s="109" t="s">
        <v>95</v>
      </c>
      <c r="B31" s="110" t="s">
        <v>556</v>
      </c>
      <c r="C31" s="111">
        <v>2000</v>
      </c>
    </row>
    <row r="32" spans="1:3" s="15" customFormat="1" ht="15.6" x14ac:dyDescent="0.25">
      <c r="A32" s="109" t="s">
        <v>125</v>
      </c>
      <c r="B32" s="110" t="s">
        <v>557</v>
      </c>
      <c r="C32" s="111">
        <v>8176</v>
      </c>
    </row>
    <row r="33" spans="1:3" s="15" customFormat="1" ht="31.2" x14ac:dyDescent="0.25">
      <c r="A33" s="109" t="s">
        <v>126</v>
      </c>
      <c r="B33" s="110" t="s">
        <v>558</v>
      </c>
      <c r="C33" s="111">
        <v>43896</v>
      </c>
    </row>
    <row r="34" spans="1:3" s="15" customFormat="1" ht="46.8" x14ac:dyDescent="0.25">
      <c r="A34" s="109" t="s">
        <v>127</v>
      </c>
      <c r="B34" s="116" t="s">
        <v>559</v>
      </c>
      <c r="C34" s="111">
        <f>72160+146960</f>
        <v>219120</v>
      </c>
    </row>
    <row r="35" spans="1:3" s="15" customFormat="1" ht="31.2" x14ac:dyDescent="0.25">
      <c r="A35" s="109" t="s">
        <v>128</v>
      </c>
      <c r="B35" s="110" t="s">
        <v>560</v>
      </c>
      <c r="C35" s="111">
        <v>70130</v>
      </c>
    </row>
    <row r="36" spans="1:3" s="15" customFormat="1" ht="31.2" x14ac:dyDescent="0.25">
      <c r="A36" s="109" t="s">
        <v>129</v>
      </c>
      <c r="B36" s="110" t="s">
        <v>561</v>
      </c>
      <c r="C36" s="111">
        <v>31082</v>
      </c>
    </row>
    <row r="37" spans="1:3" s="7" customFormat="1" ht="15.6" x14ac:dyDescent="0.25">
      <c r="A37" s="117"/>
      <c r="B37" s="118" t="s">
        <v>562</v>
      </c>
      <c r="C37" s="119">
        <f>SUM(C13:C36)</f>
        <v>4347004</v>
      </c>
    </row>
    <row r="38" spans="1:3" s="2" customFormat="1" ht="15.6" x14ac:dyDescent="0.3">
      <c r="A38" s="16"/>
    </row>
    <row r="39" spans="1:3" s="121" customFormat="1" ht="15.6" x14ac:dyDescent="0.3">
      <c r="A39" s="120"/>
      <c r="B39" s="16" t="s">
        <v>563</v>
      </c>
    </row>
    <row r="40" spans="1:3" s="121" customFormat="1" ht="15.6" x14ac:dyDescent="0.3">
      <c r="A40" s="120"/>
    </row>
    <row r="41" spans="1:3" s="121" customFormat="1" ht="15.6" x14ac:dyDescent="0.3">
      <c r="A41" s="120"/>
    </row>
    <row r="42" spans="1:3" s="121" customFormat="1" ht="15.6" x14ac:dyDescent="0.3">
      <c r="A42" s="120"/>
    </row>
    <row r="43" spans="1:3" s="123" customFormat="1" ht="15.6" x14ac:dyDescent="0.3">
      <c r="A43" s="122"/>
      <c r="B43" s="121"/>
    </row>
    <row r="44" spans="1:3" s="123" customFormat="1" ht="15" x14ac:dyDescent="0.25">
      <c r="A44" s="122"/>
    </row>
    <row r="45" spans="1:3" s="123" customFormat="1" ht="15" x14ac:dyDescent="0.25">
      <c r="A45" s="122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2024-09-11T13:17:46Z</cp:lastPrinted>
  <dcterms:created xsi:type="dcterms:W3CDTF">2001-01-28T19:21:19Z</dcterms:created>
  <dcterms:modified xsi:type="dcterms:W3CDTF">2024-09-25T08:13:08Z</dcterms:modified>
</cp:coreProperties>
</file>