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2025-12-18/"/>
    </mc:Choice>
  </mc:AlternateContent>
  <xr:revisionPtr revIDLastSave="0" documentId="8_{197D5DF0-6387-4A83-A372-E54024977877}" xr6:coauthVersionLast="47" xr6:coauthVersionMax="47" xr10:uidLastSave="{00000000-0000-0000-0000-000000000000}"/>
  <bookViews>
    <workbookView xWindow="22932" yWindow="-108" windowWidth="30936" windowHeight="16776" xr2:uid="{65A91F6C-CFD0-464C-A180-505B22725304}"/>
  </bookViews>
  <sheets>
    <sheet name="2025-12-18 3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2" l="1"/>
  <c r="G29" i="2"/>
  <c r="C63" i="2"/>
  <c r="H32" i="2"/>
  <c r="C79" i="2"/>
  <c r="C68" i="2"/>
  <c r="C64" i="2"/>
  <c r="D53" i="2" l="1"/>
  <c r="C35" i="2"/>
  <c r="C69" i="2"/>
  <c r="F36" i="2"/>
  <c r="F32" i="2"/>
  <c r="D79" i="2"/>
  <c r="D36" i="2"/>
  <c r="H39" i="2"/>
  <c r="H74" i="2"/>
  <c r="H27" i="2"/>
  <c r="H26" i="2"/>
  <c r="D32" i="2"/>
  <c r="E15" i="2"/>
  <c r="C21" i="2" l="1"/>
  <c r="C20" i="2"/>
  <c r="E24" i="2"/>
  <c r="E23" i="2"/>
  <c r="E22" i="2"/>
  <c r="E21" i="2"/>
  <c r="E20" i="2"/>
  <c r="E19" i="2"/>
  <c r="E18" i="2"/>
  <c r="E17" i="2"/>
  <c r="E16" i="2"/>
  <c r="G41" i="2"/>
  <c r="G24" i="2"/>
  <c r="G23" i="2"/>
  <c r="G20" i="2"/>
  <c r="G17" i="2"/>
  <c r="C65" i="2"/>
  <c r="C36" i="2"/>
  <c r="C32" i="2"/>
  <c r="C27" i="2"/>
  <c r="D39" i="2"/>
  <c r="C46" i="2" l="1"/>
  <c r="C24" i="2"/>
  <c r="C23" i="2"/>
  <c r="C22" i="2"/>
  <c r="C74" i="2"/>
  <c r="C67" i="2"/>
  <c r="G47" i="2"/>
  <c r="G35" i="2"/>
  <c r="G19" i="2"/>
  <c r="E30" i="2"/>
  <c r="E29" i="2"/>
  <c r="F22" i="2"/>
  <c r="F21" i="2"/>
  <c r="F20" i="2"/>
  <c r="F19" i="2"/>
  <c r="F18" i="2"/>
  <c r="F17" i="2"/>
  <c r="F16" i="2"/>
  <c r="F15" i="2"/>
  <c r="E27" i="2"/>
  <c r="C53" i="2"/>
  <c r="C84" i="2"/>
  <c r="F79" i="2"/>
  <c r="C66" i="2"/>
  <c r="H68" i="2" l="1"/>
  <c r="H37" i="2"/>
  <c r="G46" i="2"/>
  <c r="J46" i="2" s="1"/>
  <c r="J23" i="2"/>
  <c r="G21" i="2"/>
  <c r="J24" i="2"/>
  <c r="F27" i="2"/>
  <c r="J64" i="2"/>
  <c r="J65" i="2"/>
  <c r="E71" i="2"/>
  <c r="E70" i="2" s="1"/>
  <c r="E77" i="2"/>
  <c r="J81" i="2"/>
  <c r="D82" i="2"/>
  <c r="C38" i="2"/>
  <c r="C18" i="2"/>
  <c r="C17" i="2"/>
  <c r="C16" i="2"/>
  <c r="C15" i="2"/>
  <c r="G33" i="2"/>
  <c r="D77" i="2"/>
  <c r="J86" i="2"/>
  <c r="G82" i="2"/>
  <c r="F82" i="2"/>
  <c r="C83" i="2"/>
  <c r="J83" i="2" s="1"/>
  <c r="I82" i="2"/>
  <c r="H82" i="2"/>
  <c r="E82" i="2"/>
  <c r="J80" i="2"/>
  <c r="G77" i="2"/>
  <c r="I77" i="2"/>
  <c r="J78" i="2"/>
  <c r="H77" i="2"/>
  <c r="F77" i="2"/>
  <c r="F71" i="2"/>
  <c r="F70" i="2" s="1"/>
  <c r="I71" i="2"/>
  <c r="I70" i="2" s="1"/>
  <c r="D71" i="2"/>
  <c r="D70" i="2" s="1"/>
  <c r="J72" i="2"/>
  <c r="H71" i="2"/>
  <c r="H70" i="2" s="1"/>
  <c r="J69" i="2"/>
  <c r="J67" i="2"/>
  <c r="H62" i="2"/>
  <c r="H61" i="2" s="1"/>
  <c r="D62" i="2"/>
  <c r="D61" i="2" s="1"/>
  <c r="C59" i="2"/>
  <c r="J59" i="2" s="1"/>
  <c r="J58" i="2"/>
  <c r="I56" i="2"/>
  <c r="I55" i="2" s="1"/>
  <c r="H56" i="2"/>
  <c r="H55" i="2" s="1"/>
  <c r="E56" i="2"/>
  <c r="E55" i="2" s="1"/>
  <c r="D56" i="2"/>
  <c r="D55" i="2" s="1"/>
  <c r="G56" i="2"/>
  <c r="G55" i="2" s="1"/>
  <c r="H52" i="2"/>
  <c r="G52" i="2"/>
  <c r="D52" i="2"/>
  <c r="J54" i="2"/>
  <c r="J53" i="2"/>
  <c r="I52" i="2"/>
  <c r="F52" i="2"/>
  <c r="E52" i="2"/>
  <c r="G49" i="2"/>
  <c r="J51" i="2"/>
  <c r="I49" i="2"/>
  <c r="E49" i="2"/>
  <c r="H49" i="2"/>
  <c r="D49" i="2"/>
  <c r="I40" i="2"/>
  <c r="F40" i="2"/>
  <c r="E40" i="2"/>
  <c r="J45" i="2"/>
  <c r="J44" i="2"/>
  <c r="G43" i="2"/>
  <c r="J43" i="2" s="1"/>
  <c r="J42" i="2"/>
  <c r="J41" i="2"/>
  <c r="H40" i="2"/>
  <c r="D40" i="2"/>
  <c r="C40" i="2"/>
  <c r="I37" i="2"/>
  <c r="G37" i="2"/>
  <c r="F37" i="2"/>
  <c r="E37" i="2"/>
  <c r="D37" i="2"/>
  <c r="J38" i="2"/>
  <c r="F33" i="2"/>
  <c r="I33" i="2"/>
  <c r="H33" i="2"/>
  <c r="E33" i="2"/>
  <c r="D33" i="2"/>
  <c r="E31" i="2"/>
  <c r="I31" i="2"/>
  <c r="F30" i="2"/>
  <c r="J30" i="2" s="1"/>
  <c r="F29" i="2"/>
  <c r="J29" i="2" s="1"/>
  <c r="F28" i="2"/>
  <c r="J28" i="2" s="1"/>
  <c r="I25" i="2"/>
  <c r="I14" i="2" s="1"/>
  <c r="D25" i="2"/>
  <c r="D14" i="2" s="1"/>
  <c r="E25" i="2"/>
  <c r="E14" i="2" s="1"/>
  <c r="J22" i="2"/>
  <c r="C19" i="2"/>
  <c r="J16" i="2"/>
  <c r="J17" i="2" l="1"/>
  <c r="H76" i="2"/>
  <c r="H75" i="2" s="1"/>
  <c r="J21" i="2"/>
  <c r="J18" i="2"/>
  <c r="C56" i="2"/>
  <c r="C55" i="2" s="1"/>
  <c r="E76" i="2"/>
  <c r="E75" i="2" s="1"/>
  <c r="J19" i="2"/>
  <c r="I76" i="2"/>
  <c r="I75" i="2" s="1"/>
  <c r="H60" i="2"/>
  <c r="I13" i="2"/>
  <c r="D60" i="2"/>
  <c r="F76" i="2"/>
  <c r="F75" i="2" s="1"/>
  <c r="J34" i="2"/>
  <c r="J50" i="2"/>
  <c r="J73" i="2"/>
  <c r="G71" i="2"/>
  <c r="G70" i="2" s="1"/>
  <c r="J84" i="2"/>
  <c r="G76" i="2"/>
  <c r="G75" i="2" s="1"/>
  <c r="I62" i="2"/>
  <c r="I61" i="2" s="1"/>
  <c r="I60" i="2" s="1"/>
  <c r="J15" i="2"/>
  <c r="J20" i="2"/>
  <c r="F25" i="2"/>
  <c r="F14" i="2" s="1"/>
  <c r="F31" i="2"/>
  <c r="D31" i="2"/>
  <c r="D13" i="2" s="1"/>
  <c r="J57" i="2"/>
  <c r="J63" i="2"/>
  <c r="F62" i="2"/>
  <c r="F61" i="2" s="1"/>
  <c r="F60" i="2" s="1"/>
  <c r="J66" i="2"/>
  <c r="J68" i="2"/>
  <c r="J74" i="2"/>
  <c r="G40" i="2"/>
  <c r="J40" i="2" s="1"/>
  <c r="E62" i="2"/>
  <c r="E61" i="2" s="1"/>
  <c r="E60" i="2" s="1"/>
  <c r="J79" i="2"/>
  <c r="E13" i="2"/>
  <c r="J47" i="2"/>
  <c r="G25" i="2"/>
  <c r="G14" i="2" s="1"/>
  <c r="C33" i="2"/>
  <c r="J33" i="2" s="1"/>
  <c r="F49" i="2"/>
  <c r="F56" i="2"/>
  <c r="G62" i="2"/>
  <c r="G61" i="2" s="1"/>
  <c r="D76" i="2"/>
  <c r="D75" i="2" s="1"/>
  <c r="H31" i="2"/>
  <c r="J26" i="2"/>
  <c r="H25" i="2"/>
  <c r="H14" i="2" s="1"/>
  <c r="J36" i="2"/>
  <c r="C31" i="2"/>
  <c r="J32" i="2"/>
  <c r="C37" i="2"/>
  <c r="J37" i="2" s="1"/>
  <c r="J39" i="2"/>
  <c r="J27" i="2"/>
  <c r="C77" i="2"/>
  <c r="J77" i="2" s="1"/>
  <c r="J48" i="2"/>
  <c r="J35" i="2"/>
  <c r="C49" i="2"/>
  <c r="C25" i="2"/>
  <c r="G31" i="2"/>
  <c r="C52" i="2"/>
  <c r="J52" i="2" s="1"/>
  <c r="C71" i="2"/>
  <c r="C82" i="2"/>
  <c r="J82" i="2" s="1"/>
  <c r="J71" i="2" l="1"/>
  <c r="J62" i="2"/>
  <c r="G60" i="2"/>
  <c r="E85" i="2"/>
  <c r="E87" i="2" s="1"/>
  <c r="J49" i="2"/>
  <c r="G13" i="2"/>
  <c r="D85" i="2"/>
  <c r="D87" i="2" s="1"/>
  <c r="H13" i="2"/>
  <c r="H85" i="2" s="1"/>
  <c r="H87" i="2" s="1"/>
  <c r="I85" i="2"/>
  <c r="I87" i="2" s="1"/>
  <c r="J56" i="2"/>
  <c r="F55" i="2"/>
  <c r="J55" i="2" s="1"/>
  <c r="C76" i="2"/>
  <c r="J31" i="2"/>
  <c r="C70" i="2"/>
  <c r="J70" i="2" s="1"/>
  <c r="C14" i="2"/>
  <c r="J25" i="2"/>
  <c r="C62" i="2"/>
  <c r="C61" i="2" s="1"/>
  <c r="G85" i="2" l="1"/>
  <c r="G87" i="2" s="1"/>
  <c r="F13" i="2"/>
  <c r="J14" i="2"/>
  <c r="C13" i="2"/>
  <c r="J76" i="2"/>
  <c r="C75" i="2"/>
  <c r="C60" i="2"/>
  <c r="J61" i="2"/>
  <c r="F85" i="2" l="1"/>
  <c r="F87" i="2" s="1"/>
  <c r="J75" i="2"/>
  <c r="J13" i="2"/>
  <c r="C85" i="2"/>
  <c r="J60" i="2"/>
  <c r="J85" i="2" l="1"/>
  <c r="C87" i="2"/>
  <c r="J87" i="2" l="1"/>
</calcChain>
</file>

<file path=xl/sharedStrings.xml><?xml version="1.0" encoding="utf-8"?>
<sst xmlns="http://schemas.openxmlformats.org/spreadsheetml/2006/main" count="116" uniqueCount="111">
  <si>
    <t>Eur</t>
  </si>
  <si>
    <t>Savivaldybės biudžeto lėšos</t>
  </si>
  <si>
    <t>Speciali tikslinė dotacija</t>
  </si>
  <si>
    <t>Kitos tikslinės valstybės biudžeto lėšos</t>
  </si>
  <si>
    <t>Įstaigų pajamos</t>
  </si>
  <si>
    <t>Europos Sąjungos ir kitos finansinės paramos lėšos projektams vykdyti</t>
  </si>
  <si>
    <t>Skolintos lėšos</t>
  </si>
  <si>
    <t>IŠ VISO</t>
  </si>
  <si>
    <t>Valstybinėms (valstybės perduotoms savivaldybėms) funkcijoms atlikti</t>
  </si>
  <si>
    <t>Ugdymo reikmėms finansuoti</t>
  </si>
  <si>
    <t>IŠ VISO ASIGNAVIMŲ</t>
  </si>
  <si>
    <t>IŠ VISO IŠLAIDŲ</t>
  </si>
  <si>
    <t>JURBARKO RAJONO SAVIVALDYBĖS 2025 METŲ BIUDŽETO ASIGNAVIMŲ PLANAS</t>
  </si>
  <si>
    <t>PATVIRTINTA</t>
  </si>
  <si>
    <t>3 priedas</t>
  </si>
  <si>
    <t xml:space="preserve">Eil. Nr.  </t>
  </si>
  <si>
    <t>13.1</t>
  </si>
  <si>
    <t>13.2</t>
  </si>
  <si>
    <t>13.3</t>
  </si>
  <si>
    <t>Jurbarko r. savivaldybės administracija, iš jų:</t>
  </si>
  <si>
    <t>01 Gyvenimo kokybės gerinimo programa</t>
  </si>
  <si>
    <t>01-01-11 Ikimokyklinio, priešmokyklinio ir bendrojo ugdymo aplinkos modernizavimas</t>
  </si>
  <si>
    <t>01-01-12 Švietimo ir mokymo kokybės gerinimas</t>
  </si>
  <si>
    <t>01-01-13 Neformaliojo vaikų švietimo programų pasiūlos plėtra plėtojimas</t>
  </si>
  <si>
    <r>
      <rPr>
        <b/>
        <sz val="11"/>
        <rFont val="Times New Roman"/>
        <family val="1"/>
        <charset val="186"/>
      </rPr>
      <t>Jurbarko krašto muziejus</t>
    </r>
    <r>
      <rPr>
        <sz val="11"/>
        <rFont val="Times New Roman"/>
        <family val="1"/>
        <charset val="186"/>
      </rPr>
      <t xml:space="preserve">
01-04-07 Jurbarko krašto istorijos įprasminimui skirtų veiklų organizavimas, koordinavimas bei valdymas 
Jurbarko muziejuje</t>
    </r>
  </si>
  <si>
    <t>01-07-01 Nevyriausybinių organizacijų ir kitų juridinių asmenų finansavimas</t>
  </si>
  <si>
    <t>01-07-02 Dalyvaujamojo biudžeto iniciatyvų įgyvendinimas</t>
  </si>
  <si>
    <t>39.1</t>
  </si>
  <si>
    <t>39.2</t>
  </si>
  <si>
    <t>39.3</t>
  </si>
  <si>
    <t>01-07-03  Jaunimui skirtų paslaugų bei galimybių tinklo plėtra</t>
  </si>
  <si>
    <t>02-01-01 Teritorijų planavimo dokumentų ir projektinės dokumentacijos parengimas</t>
  </si>
  <si>
    <t>02-01-02 Vietinės reikšmės kelių ir kelio statinių priežiūra, rekonstrukcija ir plėtra</t>
  </si>
  <si>
    <t>42.1</t>
  </si>
  <si>
    <t>42.2</t>
  </si>
  <si>
    <t>42.5</t>
  </si>
  <si>
    <t>42.4</t>
  </si>
  <si>
    <t>42.3</t>
  </si>
  <si>
    <t>02-01-04 Švaros, tvarkos ir saugumo viešojo naudojimo teritorijose užtikrinimas</t>
  </si>
  <si>
    <t>02-01-05 Vandens tiekimo ir nuotekų tvarkymo bei paviršinių vandens surinkimo sistemų atnaujinimas ir plėtra</t>
  </si>
  <si>
    <t>42.6</t>
  </si>
  <si>
    <t>42.7</t>
  </si>
  <si>
    <t>02-01-06 Miestų, miestelių ir kaimų viešosios infrastruktūros kompleksinis sutvarkymas</t>
  </si>
  <si>
    <t>02-02-01 Melioracijos statinių remontas, rekonstrukcija, priežiūra ir apskaita</t>
  </si>
  <si>
    <t>03-01 Padidinti savivaldybės valdymo efektyvumą</t>
  </si>
  <si>
    <t>03-01-01 Savivaldybės tarybos veiklos užtikrinimas</t>
  </si>
  <si>
    <t>03-01-02 Jurbarko rajono savivaldybės administracijos ir padalinių (seniūnijų) veiklos užtikrinimas, teikiamų paslaugų prieinamumo didinimas</t>
  </si>
  <si>
    <t>44.1</t>
  </si>
  <si>
    <t>44.2</t>
  </si>
  <si>
    <t>03-01-05 Savivaldybės mero rezervo formavimas ekstremalių situacijų valdymui</t>
  </si>
  <si>
    <t>03-01-06 Projektų būtinųjų išlaidų finansavimas</t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</si>
  <si>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Finansinių įsipareigojimų vykdymas 
(paskolų grąžinimas)</t>
    </r>
  </si>
  <si>
    <t>02 Tvaraus teritorijų vystymo ir ekonominio konkurencingumo didinimo programa</t>
  </si>
  <si>
    <t>02-01-07 Savivaldybės švietimo, kultūros ir sporto infrastruktūros modernizavimas</t>
  </si>
  <si>
    <t>02-02-02 Ekonominės veiklos iniciatyvų rėmimas</t>
  </si>
  <si>
    <t>44.3</t>
  </si>
  <si>
    <t>47.1</t>
  </si>
  <si>
    <t>47.2</t>
  </si>
  <si>
    <t>50.1</t>
  </si>
  <si>
    <t>50.2</t>
  </si>
  <si>
    <t>Asignavimų valdytojo,
struktūrinio padalinio,
programos, uždavinio, 
priemonės pavadinimas
programų vykdytojai, atsakingi asmenys</t>
  </si>
  <si>
    <t>02-01-03 Susisiekimo viešuoju transportu prieinamumo užtikrinimas</t>
  </si>
  <si>
    <t>02-02-03 Turizmo ir verslo skatinimas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</si>
  <si>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01-05-02 Gyventojams palankios fizinio aktyvumo aplinkos kūrimas ir aukšto meistriškumo sporto klubų rėmimas</t>
    </r>
  </si>
  <si>
    <t>2025 m. vasario 18 d. sprendimu Nr. T2-30</t>
  </si>
  <si>
    <t>Jurbarko rajono savivaldybės tarybos</t>
  </si>
  <si>
    <t>18.1</t>
  </si>
  <si>
    <t>18.2</t>
  </si>
  <si>
    <t>01-02-02 Socialinių paslaugų Seredžiaus senelių globos namuose teikimas</t>
  </si>
  <si>
    <t>01-02-01 Socialinių paslaugų teikimas</t>
  </si>
  <si>
    <t>Seredžiaus senelių globos namai, iš jų:</t>
  </si>
  <si>
    <t xml:space="preserve"> redakcija)</t>
  </si>
  <si>
    <r>
      <t xml:space="preserve">01-01 Sudaryti tinkamas ugdymo paslaugų teikimo sąlygas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</si>
  <si>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vaikų lopšelis-darželis „Nykštukas“</t>
    </r>
    <r>
      <rPr>
        <sz val="11"/>
        <rFont val="Times New Roman"/>
        <family val="1"/>
        <charset val="186"/>
      </rPr>
      <t xml:space="preserve">
01-01-01 Ikimokyklinio ir priešmokyklinio vaikų ugdymo ir saugios aplinkos užtikrinimas Jurbarko vaikų lopšelyje-darželyje „Nykštukas“</t>
    </r>
  </si>
  <si>
    <r>
      <rPr>
        <b/>
        <sz val="11"/>
        <rFont val="Times New Roman"/>
        <family val="1"/>
        <charset val="186"/>
      </rPr>
      <t>Jurbarko  „Ąžuoliuko“ mokykla</t>
    </r>
    <r>
      <rPr>
        <sz val="11"/>
        <rFont val="Times New Roman"/>
        <family val="1"/>
        <charset val="186"/>
      </rPr>
      <t xml:space="preserve">
01-01-02 Ikimokyklinio ir priešmokyklinio vaikų ugdymo, specialiojo ugdymo  ir saugios aplinkos užtikrinimas Jurbarko  „Ąžuoliuko“ mokykloje</t>
    </r>
  </si>
  <si>
    <r>
      <rPr>
        <b/>
        <sz val="11"/>
        <rFont val="Times New Roman"/>
        <family val="1"/>
        <charset val="186"/>
      </rPr>
      <t>Jurbarko r. Jurbarkų darželis-mokykla</t>
    </r>
    <r>
      <rPr>
        <sz val="11"/>
        <rFont val="Times New Roman"/>
        <family val="1"/>
        <charset val="186"/>
      </rPr>
      <t xml:space="preserve">
01-01-03 Ikimokyklinio, priešmokyklinio ir pradinio ugdymo ir saugios aplinkos užtikrinimas Jurbarko r. Jurbarkų darželyje-mokykloje</t>
    </r>
  </si>
  <si>
    <r>
      <rPr>
        <b/>
        <sz val="11"/>
        <rFont val="Times New Roman"/>
        <family val="1"/>
        <charset val="186"/>
      </rPr>
      <t>Jurbarko r. Šimkaičių Jono Žemaičio pagrindinė mokykla</t>
    </r>
    <r>
      <rPr>
        <sz val="11"/>
        <rFont val="Times New Roman"/>
        <family val="1"/>
        <charset val="186"/>
      </rPr>
      <t xml:space="preserve">
01-01-04 Kokybiško ikimokyklinio, priešmokyklinio ir pagrindinio ugdymo proceso organizavimas bei valdymas Jurbarko r. Šimkaičių Jono Žemaičio pagrindinėje mokykloje</t>
    </r>
  </si>
  <si>
    <r>
      <rPr>
        <b/>
        <sz val="11"/>
        <rFont val="Times New Roman"/>
        <family val="1"/>
        <charset val="186"/>
      </rPr>
      <t>Jurbarko r. Skirsnemunės Jurgio Baltrušaičio pagrindinė mokykla</t>
    </r>
    <r>
      <rPr>
        <sz val="11"/>
        <rFont val="Times New Roman"/>
        <family val="1"/>
        <charset val="186"/>
      </rPr>
      <t xml:space="preserve">
01-01-05 Kokybiško ikimokyklinio, priešmokyklinio ir pagrindinio ugdymo proceso organizavimas bei valdymas Jurbarko r. Skirsnemunės Jurgio Baltrušaičio pagrindinėje mokykloje</t>
    </r>
  </si>
  <si>
    <r>
      <rPr>
        <b/>
        <sz val="11"/>
        <rFont val="Times New Roman"/>
        <family val="1"/>
        <charset val="186"/>
      </rPr>
      <t>Jurbarko r. Eržvilko gimnazija</t>
    </r>
    <r>
      <rPr>
        <sz val="11"/>
        <rFont val="Times New Roman"/>
        <family val="1"/>
        <charset val="186"/>
      </rPr>
      <t xml:space="preserve">
01-01-06 Kokybiško ikimokyklinio, priešmokyklinio ir bendrojo ugdymo proceso organizavimas bei valdymas Jurbarko r. Eržvilko gimnazijoje</t>
    </r>
  </si>
  <si>
    <r>
      <rPr>
        <b/>
        <sz val="11"/>
        <rFont val="Times New Roman"/>
        <family val="1"/>
        <charset val="186"/>
      </rPr>
      <t>Jurbarko r. Veliuonos Antano ir Jono Juškų gimnazija</t>
    </r>
    <r>
      <rPr>
        <sz val="11"/>
        <rFont val="Times New Roman"/>
        <family val="1"/>
        <charset val="186"/>
      </rPr>
      <t xml:space="preserve">
01-01-07 Kokybiško ikimokyklinio, priešmokyklinio ir bendrojo ugdymo proceso organizavimas bei valdymas Jurbarko r. Veliuonos Antano ir Jono Juškų gimnazijoje</t>
    </r>
  </si>
  <si>
    <r>
      <rPr>
        <b/>
        <sz val="11"/>
        <rFont val="Times New Roman"/>
        <family val="1"/>
        <charset val="186"/>
      </rPr>
      <t>Jurbarko Vytauto Didžiojo pagrindinė mokykla</t>
    </r>
    <r>
      <rPr>
        <sz val="11"/>
        <rFont val="Times New Roman"/>
        <family val="1"/>
        <charset val="186"/>
      </rPr>
      <t xml:space="preserve">
01-01-08 Kokybiško ikimokyklinio, priešmokyklinio ir bendrojo ugdymo proceso organizavimas bei valdymas Jurbarko Vytauto Didžiojo pagrindinėje mokykloje</t>
    </r>
  </si>
  <si>
    <r>
      <rPr>
        <b/>
        <sz val="11"/>
        <rFont val="Times New Roman"/>
        <family val="1"/>
        <charset val="186"/>
      </rPr>
      <t>Jurbarko Naujamiesčio progimnazija</t>
    </r>
    <r>
      <rPr>
        <sz val="11"/>
        <rFont val="Times New Roman"/>
        <family val="1"/>
        <charset val="186"/>
      </rPr>
      <t xml:space="preserve">
01-01-09 Kokybiško bendrojo ugdymo proceso organizavimas bei valdymas Jurbarko Naujamiesčio progimnazijoje</t>
    </r>
  </si>
  <si>
    <r>
      <rPr>
        <b/>
        <sz val="11"/>
        <rFont val="Times New Roman"/>
        <family val="1"/>
        <charset val="186"/>
      </rPr>
      <t>Jurbarko Antano Giedraičio-Giedriaus  gimnazija</t>
    </r>
    <r>
      <rPr>
        <sz val="11"/>
        <rFont val="Times New Roman"/>
        <family val="1"/>
        <charset val="186"/>
      </rPr>
      <t xml:space="preserve">
01-01-10 Kokybiško bendrojo ugdymo proceso organizavimas bei valdymas Jurbarko Antano Giedraičio-Giedriaus  gimnazijoje</t>
    </r>
  </si>
  <si>
    <r>
      <rPr>
        <b/>
        <sz val="11"/>
        <rFont val="Times New Roman"/>
        <family val="1"/>
        <charset val="186"/>
      </rPr>
      <t>Jurbarko švietimo centras</t>
    </r>
    <r>
      <rPr>
        <sz val="11"/>
        <rFont val="Times New Roman"/>
        <family val="1"/>
        <charset val="186"/>
      </rPr>
      <t xml:space="preserve">
01-01-14 Jurbarko švietimo centro paslaugų užtikrinimas</t>
    </r>
  </si>
  <si>
    <r>
      <rPr>
        <b/>
        <sz val="11"/>
        <rFont val="Times New Roman"/>
        <family val="1"/>
        <charset val="186"/>
      </rPr>
      <t>Jurbarko Antano Sodeikos meno mokykla</t>
    </r>
    <r>
      <rPr>
        <sz val="11"/>
        <rFont val="Times New Roman"/>
        <family val="1"/>
        <charset val="186"/>
      </rPr>
      <t xml:space="preserve">
01-01-15 Formalųjį švietimą papildančio ugdymo  proceso organizavimas bei valdymas Jurbarko Antano Sodeikos meno mokykloje</t>
    </r>
  </si>
  <si>
    <r>
      <t xml:space="preserve">01-02 Užtikrinti socialinės paramos prieinamumą 
</t>
    </r>
    <r>
      <rPr>
        <sz val="11"/>
        <rFont val="Times New Roman"/>
        <family val="1"/>
        <charset val="186"/>
      </rPr>
      <t>(koordinatorius - Socialinės paramos skyriaus vedėjas)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</si>
  <si>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01-02-01 Socialinių paslaugų teikimas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</si>
  <si>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01-02-03 Socialinių išmokų ir kompensacijų mokėjimas</t>
    </r>
  </si>
  <si>
    <r>
      <t xml:space="preserve">01-03 Užtikrinti gyventojams kokybiškų visuomenės ir asmens sveikatos priežiūros paslaugų teikimą
</t>
    </r>
    <r>
      <rPr>
        <sz val="11"/>
        <rFont val="Times New Roman"/>
        <family val="1"/>
        <charset val="186"/>
      </rPr>
      <t>(koordinatorius - Sveikatos reikalų koordinatorius)</t>
    </r>
  </si>
  <si>
    <r>
      <rPr>
        <b/>
        <sz val="11"/>
        <rFont val="Times New Roman"/>
        <family val="1"/>
        <charset val="186"/>
      </rPr>
      <t>Jurbarko rajono savivaldybės visuomenės sveikatos biuras</t>
    </r>
    <r>
      <rPr>
        <sz val="11"/>
        <rFont val="Times New Roman"/>
        <family val="1"/>
        <charset val="186"/>
      </rPr>
      <t xml:space="preserve">
01-03-01 Jurbarko rajono savivaldybės visuomenės sveikatos biuro kryptingas visuomenės sveikatinimo veiklos vykdymas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</si>
  <si>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01-03-02 Asmens sveikatos priežiūros paslaugų kokybės ir prieinamumo didinimas</t>
    </r>
  </si>
  <si>
    <r>
      <t xml:space="preserve">01-04 Išplėtoti kokybiškų kultūros paslaugų įvairovę ir prieinamumą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</si>
  <si>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kultūros centras</t>
    </r>
    <r>
      <rPr>
        <sz val="11"/>
        <rFont val="Times New Roman"/>
        <family val="1"/>
        <charset val="186"/>
      </rPr>
      <t xml:space="preserve">
01-04-01 Kultūros paslaugų ir meno mėgėjų veiklos užtikrinimas ir plėtojimas 
Jurbarko kultūros centre</t>
    </r>
  </si>
  <si>
    <r>
      <rPr>
        <b/>
        <sz val="11"/>
        <rFont val="Times New Roman"/>
        <family val="1"/>
        <charset val="186"/>
      </rPr>
      <t>Veliuonos kultūros centras</t>
    </r>
    <r>
      <rPr>
        <sz val="11"/>
        <rFont val="Times New Roman"/>
        <family val="1"/>
        <charset val="186"/>
      </rPr>
      <t xml:space="preserve">
01-04-02 Kultūros paslaugų ir meno mėgėjų veiklos užtikrinimas ir plėtojimas 
Veliuonos kultūros centre</t>
    </r>
  </si>
  <si>
    <r>
      <rPr>
        <b/>
        <sz val="11"/>
        <rFont val="Times New Roman"/>
        <family val="1"/>
        <charset val="186"/>
      </rPr>
      <t>Eržvilko kultūros centras</t>
    </r>
    <r>
      <rPr>
        <sz val="11"/>
        <rFont val="Times New Roman"/>
        <family val="1"/>
        <charset val="186"/>
      </rPr>
      <t xml:space="preserve">
01-04-03 Kultūros paslaugų ir meno mėgėjų veiklos užtikrinimas ir plėtojimas 
Eržvilko kultūros centre</t>
    </r>
  </si>
  <si>
    <r>
      <rPr>
        <b/>
        <sz val="11"/>
        <rFont val="Times New Roman"/>
        <family val="1"/>
        <charset val="186"/>
      </rPr>
      <t>Mažosios Lietuvos Jurbarko krašto  kultūros centras</t>
    </r>
    <r>
      <rPr>
        <sz val="11"/>
        <rFont val="Times New Roman"/>
        <family val="1"/>
        <charset val="186"/>
      </rPr>
      <t xml:space="preserve">
01-04-04 Kultūros paslaugų ir meno mėgėjų veiklos užtikrinimas ir plėtojimas Mažosios Lietuvos Jurbarko krašto  kultūros centre</t>
    </r>
  </si>
  <si>
    <r>
      <rPr>
        <b/>
        <sz val="11"/>
        <rFont val="Times New Roman"/>
        <family val="1"/>
        <charset val="186"/>
      </rPr>
      <t>Klausučių kultūros centras</t>
    </r>
    <r>
      <rPr>
        <sz val="11"/>
        <rFont val="Times New Roman"/>
        <family val="1"/>
        <charset val="186"/>
      </rPr>
      <t xml:space="preserve">
01-04-05 Kultūros paslaugų ir meno mėgėjų veiklos užtikrinimas ir plėtojimas 
Klausučių kultūros centre</t>
    </r>
  </si>
  <si>
    <r>
      <rPr>
        <b/>
        <sz val="11"/>
        <rFont val="Times New Roman"/>
        <family val="1"/>
        <charset val="186"/>
      </rPr>
      <t>Jurbarko rajono savivaldybės viešoji  biblioteka</t>
    </r>
    <r>
      <rPr>
        <sz val="11"/>
        <rFont val="Times New Roman"/>
        <family val="1"/>
        <charset val="186"/>
      </rPr>
      <t xml:space="preserve">
01-04-06 Informacinių, komunikacinių ir kultūrinių veiklų plėtojimas Jurbarko rajono savivaldybės viešojoje  bibliotekoje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</si>
  <si>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01-04-08 Veiklos, didinančios kultūrinių ir etninių paslaugų prieinamumą bei kokybę, vykdymas</t>
    </r>
  </si>
  <si>
    <r>
      <t xml:space="preserve">01-05 Užtikrinti kryptingą sporto ugdymo procesą, rengti ir ugdyti aukšto meistriškumo sportininkus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</si>
  <si>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sporto centras</t>
    </r>
    <r>
      <rPr>
        <sz val="11"/>
        <rFont val="Times New Roman"/>
        <family val="1"/>
        <charset val="186"/>
      </rPr>
      <t xml:space="preserve">
01-05-01 Jurbarko sporto centro veiklos vykdymas skatinant fizinį aktyvumą ir aukštą sportinį meistriškumą Jurbarko rajono savivaldybėje</t>
    </r>
  </si>
  <si>
    <r>
      <t xml:space="preserve">01-06 Užtikrinti gyventojų saugumą ir ekstremalių situacijų valdymą
</t>
    </r>
    <r>
      <rPr>
        <sz val="11"/>
        <rFont val="Times New Roman"/>
        <family val="1"/>
        <charset val="186"/>
      </rPr>
      <t>(koordinatorius - Patarėjas, atliekantis savivaldybės parengties pareigūno funkcijas)</t>
    </r>
  </si>
  <si>
    <r>
      <rPr>
        <b/>
        <sz val="11"/>
        <rFont val="Times New Roman"/>
        <family val="1"/>
        <charset val="186"/>
      </rPr>
      <t>Jurbarko rajono priešgaisrinė tarnyba</t>
    </r>
    <r>
      <rPr>
        <sz val="11"/>
        <rFont val="Times New Roman"/>
        <family val="1"/>
        <charset val="186"/>
      </rPr>
      <t xml:space="preserve">
01-06-01 Jurbarko rajono priešgaisrinės tarnybos veiklos užtikrinimas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</si>
  <si>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01-06-02 Ekstremalių situacijų valdymo stiprinimas</t>
    </r>
  </si>
  <si>
    <r>
      <t xml:space="preserve">01-07 Padidinti gyventojų įtraukimą į sprendimų priėmimą ir viešųjų poreikių tenkinimą
</t>
    </r>
    <r>
      <rPr>
        <sz val="11"/>
        <rFont val="Times New Roman"/>
        <family val="1"/>
        <charset val="186"/>
      </rPr>
      <t>(koordinatoriai - Jaunimo ir Sveikatos reikalų koordinatoriai)</t>
    </r>
  </si>
  <si>
    <r>
      <t xml:space="preserve">02-01 Pagerinti gyvenamąją aplinką
</t>
    </r>
    <r>
      <rPr>
        <sz val="11"/>
        <rFont val="Times New Roman"/>
        <family val="1"/>
        <charset val="186"/>
      </rPr>
      <t>(koordinatorius - Infrastruktūros ir turto skyriaus vedėjas)</t>
    </r>
  </si>
  <si>
    <r>
      <t xml:space="preserve">02-02 Paskatinti ekonomines veiklas
</t>
    </r>
    <r>
      <rPr>
        <sz val="11"/>
        <rFont val="Times New Roman"/>
        <family val="1"/>
        <charset val="186"/>
      </rPr>
      <t>(koordinatoriai - Žemės ūkio skyriaus vedėjas,
Investicijų ir strateginio planavimo skyriaus vedėjas)</t>
    </r>
  </si>
  <si>
    <r>
      <t xml:space="preserve">03 Efektyvaus administravimo ir finansinių išteklių valdymo programa
</t>
    </r>
    <r>
      <rPr>
        <sz val="11"/>
        <rFont val="Times New Roman"/>
        <family val="1"/>
        <charset val="186"/>
      </rPr>
      <t>(koordinatoriai - Finansų skyriaus vedėjas,
Investicijų ir strateginio planavimo skyriaus vedėjas)</t>
    </r>
  </si>
  <si>
    <r>
      <rPr>
        <b/>
        <sz val="11"/>
        <rFont val="Times New Roman"/>
        <family val="1"/>
        <charset val="186"/>
      </rPr>
      <t>Jurbarko r. savivaldybės kontrolės ir audito tarnyba</t>
    </r>
    <r>
      <rPr>
        <sz val="11"/>
        <rFont val="Times New Roman"/>
        <family val="1"/>
        <charset val="186"/>
      </rPr>
      <t xml:space="preserve">
03-01-03 Savivaldybės kontrolės ir audito tarnybos veiklos užtikrinimas</t>
    </r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</si>
  <si>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03-01-04 Finansinių įsipareigojimų valdymas</t>
    </r>
  </si>
  <si>
    <t>(2025 m. gruodžio 18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</si>
</sst>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2556-DAFB-4738-9FFD-248503FFD4DC}">
  <sheetPr>
    <pageSetUpPr fitToPage="1"/>
  </sheetPr>
  <dimension ref="A1:J88"/>
  <sheetViews>
    <sheetView showZeros="0" tabSelected="1" workbookViewId="0">
      <pane ySplit="12" topLeftCell="A66" activePane="bottomLeft" state="frozen"/>
      <selection pane="bottomLeft" activeCell="O70" sqref="O70"/>
    </sheetView>
  </sheetViews>
  <sheetFormatPr defaultColWidth="9.109375" defaultRowHeight="13.8" x14ac:dyDescent="0.25"/>
  <cols>
    <col min="1" max="1" width="8.109375" style="12" customWidth="1"/>
    <col min="2" max="2" width="41.6640625" style="1" customWidth="1"/>
    <col min="3" max="10" width="15.33203125" style="1" customWidth="1"/>
    <col min="11" max="16384" width="9.109375" style="1"/>
  </cols>
  <sheetData>
    <row r="1" spans="1:10" x14ac:dyDescent="0.25">
      <c r="H1" s="1" t="s">
        <v>13</v>
      </c>
    </row>
    <row r="2" spans="1:10" x14ac:dyDescent="0.25">
      <c r="H2" s="1" t="s">
        <v>65</v>
      </c>
    </row>
    <row r="3" spans="1:10" x14ac:dyDescent="0.25">
      <c r="H3" s="1" t="s">
        <v>64</v>
      </c>
    </row>
    <row r="4" spans="1:10" x14ac:dyDescent="0.25">
      <c r="H4" s="12" t="s">
        <v>110</v>
      </c>
    </row>
    <row r="5" spans="1:10" x14ac:dyDescent="0.25">
      <c r="H5" s="12" t="s">
        <v>71</v>
      </c>
    </row>
    <row r="6" spans="1:10" x14ac:dyDescent="0.25">
      <c r="H6" s="1" t="s">
        <v>14</v>
      </c>
    </row>
    <row r="7" spans="1:10" x14ac:dyDescent="0.25">
      <c r="B7" s="2"/>
    </row>
    <row r="8" spans="1:10" ht="30.75" customHeight="1" x14ac:dyDescent="0.25">
      <c r="A8" s="22" t="s">
        <v>12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x14ac:dyDescent="0.25">
      <c r="J9" s="1" t="s">
        <v>0</v>
      </c>
    </row>
    <row r="10" spans="1:10" s="4" customFormat="1" ht="20.25" customHeight="1" x14ac:dyDescent="0.25">
      <c r="A10" s="21" t="s">
        <v>15</v>
      </c>
      <c r="B10" s="21" t="s">
        <v>60</v>
      </c>
      <c r="C10" s="21" t="s">
        <v>1</v>
      </c>
      <c r="D10" s="21" t="s">
        <v>2</v>
      </c>
      <c r="E10" s="21"/>
      <c r="F10" s="21" t="s">
        <v>3</v>
      </c>
      <c r="G10" s="21" t="s">
        <v>4</v>
      </c>
      <c r="H10" s="21" t="s">
        <v>5</v>
      </c>
      <c r="I10" s="21" t="s">
        <v>6</v>
      </c>
      <c r="J10" s="21" t="s">
        <v>7</v>
      </c>
    </row>
    <row r="11" spans="1:10" ht="82.8" x14ac:dyDescent="0.25">
      <c r="A11" s="21"/>
      <c r="B11" s="21"/>
      <c r="C11" s="21"/>
      <c r="D11" s="3" t="s">
        <v>8</v>
      </c>
      <c r="E11" s="3" t="s">
        <v>9</v>
      </c>
      <c r="F11" s="21"/>
      <c r="G11" s="21"/>
      <c r="H11" s="21"/>
      <c r="I11" s="21"/>
      <c r="J11" s="21"/>
    </row>
    <row r="12" spans="1:10" x14ac:dyDescent="0.25">
      <c r="A12" s="1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>
        <v>10</v>
      </c>
    </row>
    <row r="13" spans="1:10" x14ac:dyDescent="0.25">
      <c r="A13" s="13">
        <v>1</v>
      </c>
      <c r="B13" s="17" t="s">
        <v>20</v>
      </c>
      <c r="C13" s="11">
        <f t="shared" ref="C13:I13" si="0">C14+C31+C37+C40+C49+C52+C55</f>
        <v>21166380</v>
      </c>
      <c r="D13" s="11">
        <f t="shared" si="0"/>
        <v>3673384</v>
      </c>
      <c r="E13" s="11">
        <f t="shared" si="0"/>
        <v>11655200</v>
      </c>
      <c r="F13" s="11">
        <f t="shared" si="0"/>
        <v>1696700</v>
      </c>
      <c r="G13" s="11">
        <f t="shared" si="0"/>
        <v>1250208</v>
      </c>
      <c r="H13" s="11">
        <f t="shared" si="0"/>
        <v>1281759</v>
      </c>
      <c r="I13" s="11">
        <f t="shared" si="0"/>
        <v>0</v>
      </c>
      <c r="J13" s="11">
        <f t="shared" ref="J13:J14" si="1">SUM(C13:I13)</f>
        <v>40723631</v>
      </c>
    </row>
    <row r="14" spans="1:10" ht="55.2" x14ac:dyDescent="0.25">
      <c r="A14" s="14">
        <v>2</v>
      </c>
      <c r="B14" s="18" t="s">
        <v>72</v>
      </c>
      <c r="C14" s="10">
        <f t="shared" ref="C14:I14" si="2">C15+C16+C17+C18+C19+C20+C21+C22+C23+C24+C25+C29+C30</f>
        <v>8874879</v>
      </c>
      <c r="D14" s="10">
        <f t="shared" si="2"/>
        <v>0</v>
      </c>
      <c r="E14" s="10">
        <f t="shared" si="2"/>
        <v>11655200</v>
      </c>
      <c r="F14" s="10">
        <f t="shared" si="2"/>
        <v>575109</v>
      </c>
      <c r="G14" s="10">
        <f t="shared" si="2"/>
        <v>762348</v>
      </c>
      <c r="H14" s="10">
        <f t="shared" si="2"/>
        <v>797489</v>
      </c>
      <c r="I14" s="10">
        <f t="shared" si="2"/>
        <v>0</v>
      </c>
      <c r="J14" s="10">
        <f t="shared" si="1"/>
        <v>22665025</v>
      </c>
    </row>
    <row r="15" spans="1:10" ht="55.2" x14ac:dyDescent="0.25">
      <c r="A15" s="15">
        <v>3</v>
      </c>
      <c r="B15" s="7" t="s">
        <v>73</v>
      </c>
      <c r="C15" s="6">
        <f>995920-15817-1558</f>
        <v>978545</v>
      </c>
      <c r="D15" s="6"/>
      <c r="E15" s="6">
        <f>578228+31624+12834</f>
        <v>622686</v>
      </c>
      <c r="F15" s="6">
        <f>15817+12694+4447</f>
        <v>32958</v>
      </c>
      <c r="G15" s="6">
        <v>130210</v>
      </c>
      <c r="H15" s="6"/>
      <c r="I15" s="6"/>
      <c r="J15" s="5">
        <f>SUM(C15:I15)</f>
        <v>1764399</v>
      </c>
    </row>
    <row r="16" spans="1:10" ht="55.2" x14ac:dyDescent="0.25">
      <c r="A16" s="15">
        <v>4</v>
      </c>
      <c r="B16" s="7" t="s">
        <v>74</v>
      </c>
      <c r="C16" s="6">
        <f>977530-15127-391</f>
        <v>962012</v>
      </c>
      <c r="D16" s="6"/>
      <c r="E16" s="6">
        <f>638851+8304+14859</f>
        <v>662014</v>
      </c>
      <c r="F16" s="6">
        <f>15127+12694+18100+4447</f>
        <v>50368</v>
      </c>
      <c r="G16" s="6">
        <v>112510</v>
      </c>
      <c r="H16" s="6"/>
      <c r="I16" s="6"/>
      <c r="J16" s="5">
        <f t="shared" ref="J16:J30" si="3">SUM(C16:I16)</f>
        <v>1786904</v>
      </c>
    </row>
    <row r="17" spans="1:10" ht="55.2" x14ac:dyDescent="0.25">
      <c r="A17" s="15">
        <v>5</v>
      </c>
      <c r="B17" s="7" t="s">
        <v>75</v>
      </c>
      <c r="C17" s="6">
        <f>568520-7688-818</f>
        <v>560014</v>
      </c>
      <c r="D17" s="6"/>
      <c r="E17" s="6">
        <f>396251+13211+6048</f>
        <v>415510</v>
      </c>
      <c r="F17" s="6">
        <f>7688+8463+4447</f>
        <v>20598</v>
      </c>
      <c r="G17" s="6">
        <f>54160+1000+10000+5000</f>
        <v>70160</v>
      </c>
      <c r="H17" s="6"/>
      <c r="I17" s="6"/>
      <c r="J17" s="5">
        <f t="shared" si="3"/>
        <v>1066282</v>
      </c>
    </row>
    <row r="18" spans="1:10" ht="82.8" x14ac:dyDescent="0.25">
      <c r="A18" s="15">
        <v>6</v>
      </c>
      <c r="B18" s="7" t="s">
        <v>76</v>
      </c>
      <c r="C18" s="6">
        <f>432560-2136-1243</f>
        <v>429181</v>
      </c>
      <c r="D18" s="6"/>
      <c r="E18" s="6">
        <f>676210+5548+8985</f>
        <v>690743</v>
      </c>
      <c r="F18" s="6">
        <f>2136+16926+8895</f>
        <v>27957</v>
      </c>
      <c r="G18" s="6">
        <v>17270</v>
      </c>
      <c r="H18" s="6"/>
      <c r="I18" s="6"/>
      <c r="J18" s="5">
        <f t="shared" si="3"/>
        <v>1165151</v>
      </c>
    </row>
    <row r="19" spans="1:10" ht="96.6" x14ac:dyDescent="0.25">
      <c r="A19" s="15">
        <v>7</v>
      </c>
      <c r="B19" s="7" t="s">
        <v>77</v>
      </c>
      <c r="C19" s="6">
        <f>565150-4841</f>
        <v>560309</v>
      </c>
      <c r="D19" s="6"/>
      <c r="E19" s="6">
        <f>888745+9585+16519</f>
        <v>914849</v>
      </c>
      <c r="F19" s="6">
        <f>4841+25389+8895</f>
        <v>39125</v>
      </c>
      <c r="G19" s="6">
        <f>35550+1820-4700</f>
        <v>32670</v>
      </c>
      <c r="H19" s="6"/>
      <c r="I19" s="6"/>
      <c r="J19" s="5">
        <f t="shared" si="3"/>
        <v>1546953</v>
      </c>
    </row>
    <row r="20" spans="1:10" ht="69" x14ac:dyDescent="0.25">
      <c r="A20" s="15">
        <v>8</v>
      </c>
      <c r="B20" s="7" t="s">
        <v>78</v>
      </c>
      <c r="C20" s="6">
        <f>538150-3630+12109</f>
        <v>546629</v>
      </c>
      <c r="D20" s="6"/>
      <c r="E20" s="6">
        <f>993685+9414+14514</f>
        <v>1017613</v>
      </c>
      <c r="F20" s="6">
        <f>3630+25389+8895</f>
        <v>37914</v>
      </c>
      <c r="G20" s="6">
        <f>28240+1200-3980</f>
        <v>25460</v>
      </c>
      <c r="H20" s="6"/>
      <c r="I20" s="6"/>
      <c r="J20" s="5">
        <f t="shared" si="3"/>
        <v>1627616</v>
      </c>
    </row>
    <row r="21" spans="1:10" ht="82.8" x14ac:dyDescent="0.25">
      <c r="A21" s="15">
        <v>9</v>
      </c>
      <c r="B21" s="7" t="s">
        <v>79</v>
      </c>
      <c r="C21" s="6">
        <f>1155970-6976-3640+12109</f>
        <v>1157463</v>
      </c>
      <c r="D21" s="6"/>
      <c r="E21" s="6">
        <f>1292201+12542+18680</f>
        <v>1323423</v>
      </c>
      <c r="F21" s="6">
        <f>6976+16926+4447</f>
        <v>28349</v>
      </c>
      <c r="G21" s="6">
        <f>56950+2128</f>
        <v>59078</v>
      </c>
      <c r="H21" s="6"/>
      <c r="I21" s="6"/>
      <c r="J21" s="5">
        <f t="shared" si="3"/>
        <v>2568313</v>
      </c>
    </row>
    <row r="22" spans="1:10" ht="82.8" x14ac:dyDescent="0.25">
      <c r="A22" s="15">
        <v>10</v>
      </c>
      <c r="B22" s="7" t="s">
        <v>80</v>
      </c>
      <c r="C22" s="6">
        <f>1327890-5125-1598+6000</f>
        <v>1327167</v>
      </c>
      <c r="D22" s="6"/>
      <c r="E22" s="6">
        <f>1992270+20961+38515</f>
        <v>2051746</v>
      </c>
      <c r="F22" s="6">
        <f>5125+4231+6671</f>
        <v>16027</v>
      </c>
      <c r="G22" s="6">
        <v>57580</v>
      </c>
      <c r="H22" s="6"/>
      <c r="I22" s="6"/>
      <c r="J22" s="5">
        <f t="shared" si="3"/>
        <v>3452520</v>
      </c>
    </row>
    <row r="23" spans="1:10" ht="55.2" x14ac:dyDescent="0.25">
      <c r="A23" s="15">
        <v>11</v>
      </c>
      <c r="B23" s="7" t="s">
        <v>81</v>
      </c>
      <c r="C23" s="6">
        <f>666710+4000</f>
        <v>670710</v>
      </c>
      <c r="D23" s="6"/>
      <c r="E23" s="6">
        <f>1944532+47400+49270</f>
        <v>2041202</v>
      </c>
      <c r="F23" s="6"/>
      <c r="G23" s="6">
        <f>21140+5850+800+18700+2500</f>
        <v>48990</v>
      </c>
      <c r="H23" s="6"/>
      <c r="I23" s="6"/>
      <c r="J23" s="5">
        <f t="shared" si="3"/>
        <v>2760902</v>
      </c>
    </row>
    <row r="24" spans="1:10" ht="69" x14ac:dyDescent="0.25">
      <c r="A24" s="15">
        <v>12</v>
      </c>
      <c r="B24" s="7" t="s">
        <v>82</v>
      </c>
      <c r="C24" s="6">
        <f>539440+3351+19970</f>
        <v>562761</v>
      </c>
      <c r="D24" s="6"/>
      <c r="E24" s="6">
        <f>1647921+29446+34076</f>
        <v>1711443</v>
      </c>
      <c r="F24" s="6">
        <v>6701</v>
      </c>
      <c r="G24" s="6">
        <f>26500+800+15750+6410</f>
        <v>49460</v>
      </c>
      <c r="H24" s="6"/>
      <c r="I24" s="6"/>
      <c r="J24" s="5">
        <f t="shared" si="3"/>
        <v>2330365</v>
      </c>
    </row>
    <row r="25" spans="1:10" x14ac:dyDescent="0.25">
      <c r="A25" s="15">
        <v>13</v>
      </c>
      <c r="B25" s="19" t="s">
        <v>19</v>
      </c>
      <c r="C25" s="6">
        <f t="shared" ref="C25:I25" si="4">C26+C27+C28</f>
        <v>105088</v>
      </c>
      <c r="D25" s="6">
        <f t="shared" si="4"/>
        <v>0</v>
      </c>
      <c r="E25" s="6">
        <f t="shared" si="4"/>
        <v>0</v>
      </c>
      <c r="F25" s="6">
        <f t="shared" si="4"/>
        <v>233580</v>
      </c>
      <c r="G25" s="6">
        <f t="shared" si="4"/>
        <v>0</v>
      </c>
      <c r="H25" s="6">
        <f t="shared" si="4"/>
        <v>797489</v>
      </c>
      <c r="I25" s="6">
        <f t="shared" si="4"/>
        <v>0</v>
      </c>
      <c r="J25" s="5">
        <f t="shared" si="3"/>
        <v>1136157</v>
      </c>
    </row>
    <row r="26" spans="1:10" ht="27.6" x14ac:dyDescent="0.25">
      <c r="A26" s="15" t="s">
        <v>16</v>
      </c>
      <c r="B26" s="7" t="s">
        <v>21</v>
      </c>
      <c r="C26" s="6"/>
      <c r="D26" s="6"/>
      <c r="E26" s="6"/>
      <c r="F26" s="6"/>
      <c r="G26" s="6"/>
      <c r="H26" s="6">
        <f>52898+22070+104180+28163</f>
        <v>207311</v>
      </c>
      <c r="I26" s="6"/>
      <c r="J26" s="5">
        <f t="shared" si="3"/>
        <v>207311</v>
      </c>
    </row>
    <row r="27" spans="1:10" x14ac:dyDescent="0.25">
      <c r="A27" s="15" t="s">
        <v>17</v>
      </c>
      <c r="B27" s="7" t="s">
        <v>22</v>
      </c>
      <c r="C27" s="6">
        <f>174000-68912</f>
        <v>105088</v>
      </c>
      <c r="D27" s="6"/>
      <c r="E27" s="6">
        <f>211266-211266</f>
        <v>0</v>
      </c>
      <c r="F27" s="6">
        <f>74701-6701</f>
        <v>68000</v>
      </c>
      <c r="G27" s="6"/>
      <c r="H27" s="6">
        <f>316847+163598+61390+48343</f>
        <v>590178</v>
      </c>
      <c r="I27" s="6"/>
      <c r="J27" s="5">
        <f t="shared" si="3"/>
        <v>763266</v>
      </c>
    </row>
    <row r="28" spans="1:10" ht="27.6" x14ac:dyDescent="0.25">
      <c r="A28" s="15" t="s">
        <v>18</v>
      </c>
      <c r="B28" s="7" t="s">
        <v>23</v>
      </c>
      <c r="C28" s="6"/>
      <c r="D28" s="6"/>
      <c r="E28" s="6"/>
      <c r="F28" s="6">
        <f>170700-5120</f>
        <v>165580</v>
      </c>
      <c r="G28" s="6"/>
      <c r="H28" s="6"/>
      <c r="I28" s="6"/>
      <c r="J28" s="5">
        <f t="shared" si="3"/>
        <v>165580</v>
      </c>
    </row>
    <row r="29" spans="1:10" ht="41.4" x14ac:dyDescent="0.25">
      <c r="A29" s="15">
        <v>14</v>
      </c>
      <c r="B29" s="7" t="s">
        <v>83</v>
      </c>
      <c r="C29" s="6">
        <v>234670</v>
      </c>
      <c r="D29" s="6"/>
      <c r="E29" s="6">
        <f>119397+23141</f>
        <v>142538</v>
      </c>
      <c r="F29" s="6">
        <f>51979+13893</f>
        <v>65872</v>
      </c>
      <c r="G29" s="6">
        <f>32570+28500+30500</f>
        <v>91570</v>
      </c>
      <c r="H29" s="6"/>
      <c r="I29" s="6"/>
      <c r="J29" s="5">
        <f t="shared" si="3"/>
        <v>534650</v>
      </c>
    </row>
    <row r="30" spans="1:10" ht="55.2" x14ac:dyDescent="0.25">
      <c r="A30" s="15">
        <v>15</v>
      </c>
      <c r="B30" s="7" t="s">
        <v>84</v>
      </c>
      <c r="C30" s="6">
        <v>780330</v>
      </c>
      <c r="D30" s="6"/>
      <c r="E30" s="6">
        <f>61343+90</f>
        <v>61433</v>
      </c>
      <c r="F30" s="6">
        <f>15660</f>
        <v>15660</v>
      </c>
      <c r="G30" s="6">
        <v>67390</v>
      </c>
      <c r="H30" s="6"/>
      <c r="I30" s="6"/>
      <c r="J30" s="5">
        <f t="shared" si="3"/>
        <v>924813</v>
      </c>
    </row>
    <row r="31" spans="1:10" ht="55.2" x14ac:dyDescent="0.25">
      <c r="A31" s="14">
        <v>16</v>
      </c>
      <c r="B31" s="18" t="s">
        <v>85</v>
      </c>
      <c r="C31" s="10">
        <f t="shared" ref="C31:I31" si="5">C32+C34+C35+C36</f>
        <v>7067365</v>
      </c>
      <c r="D31" s="10">
        <f t="shared" si="5"/>
        <v>2462084</v>
      </c>
      <c r="E31" s="10">
        <f t="shared" si="5"/>
        <v>0</v>
      </c>
      <c r="F31" s="10">
        <f t="shared" si="5"/>
        <v>1070939</v>
      </c>
      <c r="G31" s="10">
        <f t="shared" si="5"/>
        <v>295100</v>
      </c>
      <c r="H31" s="10">
        <f t="shared" si="5"/>
        <v>102425</v>
      </c>
      <c r="I31" s="10">
        <f t="shared" si="5"/>
        <v>0</v>
      </c>
      <c r="J31" s="10">
        <f t="shared" ref="J31:J48" si="6">SUM(C31:I31)</f>
        <v>10997913</v>
      </c>
    </row>
    <row r="32" spans="1:10" ht="27.6" x14ac:dyDescent="0.25">
      <c r="A32" s="15">
        <v>17</v>
      </c>
      <c r="B32" s="7" t="s">
        <v>86</v>
      </c>
      <c r="C32" s="6">
        <f>3924065-30000-15000+200000</f>
        <v>4079065</v>
      </c>
      <c r="D32" s="6">
        <f>1463860+245000-5000-118000+34594</f>
        <v>1620454</v>
      </c>
      <c r="E32" s="6"/>
      <c r="F32" s="6">
        <f>547912+700-2182+1176-5000-2800+840</f>
        <v>540646</v>
      </c>
      <c r="G32" s="6"/>
      <c r="H32" s="6">
        <f>28674+9909+7250+45516+5131+5945</f>
        <v>102425</v>
      </c>
      <c r="I32" s="6"/>
      <c r="J32" s="5">
        <f t="shared" si="6"/>
        <v>6342590</v>
      </c>
    </row>
    <row r="33" spans="1:10" x14ac:dyDescent="0.25">
      <c r="A33" s="15">
        <v>18</v>
      </c>
      <c r="B33" s="19" t="s">
        <v>70</v>
      </c>
      <c r="C33" s="6">
        <f t="shared" ref="C33:I33" si="7">C34+C35</f>
        <v>337300</v>
      </c>
      <c r="D33" s="6">
        <f t="shared" si="7"/>
        <v>0</v>
      </c>
      <c r="E33" s="6">
        <f t="shared" si="7"/>
        <v>0</v>
      </c>
      <c r="F33" s="6">
        <f t="shared" si="7"/>
        <v>51647</v>
      </c>
      <c r="G33" s="6">
        <f t="shared" si="7"/>
        <v>295100</v>
      </c>
      <c r="H33" s="6">
        <f t="shared" si="7"/>
        <v>0</v>
      </c>
      <c r="I33" s="6">
        <f t="shared" si="7"/>
        <v>0</v>
      </c>
      <c r="J33" s="5">
        <f>SUM(C33:I33)</f>
        <v>684047</v>
      </c>
    </row>
    <row r="34" spans="1:10" x14ac:dyDescent="0.25">
      <c r="A34" s="15" t="s">
        <v>66</v>
      </c>
      <c r="B34" s="7" t="s">
        <v>69</v>
      </c>
      <c r="C34" s="6">
        <v>63700</v>
      </c>
      <c r="D34" s="6"/>
      <c r="E34" s="6"/>
      <c r="F34" s="6"/>
      <c r="G34" s="6"/>
      <c r="H34" s="6"/>
      <c r="I34" s="6"/>
      <c r="J34" s="5">
        <f t="shared" ref="J34" si="8">SUM(C34:I34)</f>
        <v>63700</v>
      </c>
    </row>
    <row r="35" spans="1:10" ht="27.6" x14ac:dyDescent="0.25">
      <c r="A35" s="15" t="s">
        <v>67</v>
      </c>
      <c r="B35" s="7" t="s">
        <v>68</v>
      </c>
      <c r="C35" s="6">
        <f>332000+30000-88400</f>
        <v>273600</v>
      </c>
      <c r="D35" s="6"/>
      <c r="E35" s="6"/>
      <c r="F35" s="6">
        <v>51647</v>
      </c>
      <c r="G35" s="6">
        <f>250100+5000+5000+20000+15000</f>
        <v>295100</v>
      </c>
      <c r="H35" s="6"/>
      <c r="I35" s="6"/>
      <c r="J35" s="5">
        <f t="shared" si="6"/>
        <v>620347</v>
      </c>
    </row>
    <row r="36" spans="1:10" ht="41.4" x14ac:dyDescent="0.25">
      <c r="A36" s="15">
        <v>19</v>
      </c>
      <c r="B36" s="7" t="s">
        <v>87</v>
      </c>
      <c r="C36" s="6">
        <f>2851000-132000-68000</f>
        <v>2651000</v>
      </c>
      <c r="D36" s="6">
        <f>894510-2880+5000-55000</f>
        <v>841630</v>
      </c>
      <c r="E36" s="6"/>
      <c r="F36" s="6">
        <f>19396+1956+15571+902+615+420000+15719+24+84+2429+1048+902</f>
        <v>478646</v>
      </c>
      <c r="G36" s="6"/>
      <c r="H36" s="6"/>
      <c r="I36" s="6"/>
      <c r="J36" s="5">
        <f t="shared" si="6"/>
        <v>3971276</v>
      </c>
    </row>
    <row r="37" spans="1:10" ht="69" x14ac:dyDescent="0.25">
      <c r="A37" s="14">
        <v>20</v>
      </c>
      <c r="B37" s="18" t="s">
        <v>88</v>
      </c>
      <c r="C37" s="10">
        <f>C38+C39</f>
        <v>547148</v>
      </c>
      <c r="D37" s="10">
        <f t="shared" ref="D37:I37" si="9">D38+D39</f>
        <v>284200</v>
      </c>
      <c r="E37" s="10">
        <f t="shared" si="9"/>
        <v>0</v>
      </c>
      <c r="F37" s="10">
        <f t="shared" si="9"/>
        <v>0</v>
      </c>
      <c r="G37" s="10">
        <f t="shared" si="9"/>
        <v>17360</v>
      </c>
      <c r="H37" s="10">
        <f t="shared" si="9"/>
        <v>381211</v>
      </c>
      <c r="I37" s="10">
        <f t="shared" si="9"/>
        <v>0</v>
      </c>
      <c r="J37" s="10">
        <f t="shared" si="6"/>
        <v>1229919</v>
      </c>
    </row>
    <row r="38" spans="1:10" ht="69" x14ac:dyDescent="0.25">
      <c r="A38" s="15">
        <v>21</v>
      </c>
      <c r="B38" s="7" t="s">
        <v>89</v>
      </c>
      <c r="C38" s="6">
        <f>20500+16648</f>
        <v>37148</v>
      </c>
      <c r="D38" s="6">
        <v>282800</v>
      </c>
      <c r="E38" s="6"/>
      <c r="F38" s="6"/>
      <c r="G38" s="6">
        <v>5000</v>
      </c>
      <c r="H38" s="6"/>
      <c r="I38" s="6"/>
      <c r="J38" s="5">
        <f t="shared" si="6"/>
        <v>324948</v>
      </c>
    </row>
    <row r="39" spans="1:10" ht="41.4" x14ac:dyDescent="0.25">
      <c r="A39" s="15">
        <v>22</v>
      </c>
      <c r="B39" s="7" t="s">
        <v>90</v>
      </c>
      <c r="C39" s="6">
        <v>510000</v>
      </c>
      <c r="D39" s="6">
        <f>1600-200</f>
        <v>1400</v>
      </c>
      <c r="E39" s="6"/>
      <c r="F39" s="6"/>
      <c r="G39" s="6">
        <v>12360</v>
      </c>
      <c r="H39" s="6">
        <f>115360+3001+11460+182878+41467+27045</f>
        <v>381211</v>
      </c>
      <c r="I39" s="6"/>
      <c r="J39" s="5">
        <f t="shared" si="6"/>
        <v>904971</v>
      </c>
    </row>
    <row r="40" spans="1:10" ht="55.2" x14ac:dyDescent="0.25">
      <c r="A40" s="14">
        <v>23</v>
      </c>
      <c r="B40" s="18" t="s">
        <v>91</v>
      </c>
      <c r="C40" s="10">
        <f>C41+C42+C43+C44+C45+C46+C47+C48</f>
        <v>3466300</v>
      </c>
      <c r="D40" s="10">
        <f t="shared" ref="D40:I40" si="10">D41+D42+D43+D44+D45+D46+D47+D48</f>
        <v>0</v>
      </c>
      <c r="E40" s="10">
        <f t="shared" si="10"/>
        <v>0</v>
      </c>
      <c r="F40" s="10">
        <f t="shared" si="10"/>
        <v>32804</v>
      </c>
      <c r="G40" s="10">
        <f t="shared" si="10"/>
        <v>147010</v>
      </c>
      <c r="H40" s="10">
        <f t="shared" si="10"/>
        <v>0</v>
      </c>
      <c r="I40" s="10">
        <f t="shared" si="10"/>
        <v>0</v>
      </c>
      <c r="J40" s="10">
        <f t="shared" si="6"/>
        <v>3646114</v>
      </c>
    </row>
    <row r="41" spans="1:10" ht="55.2" x14ac:dyDescent="0.25">
      <c r="A41" s="15">
        <v>24</v>
      </c>
      <c r="B41" s="7" t="s">
        <v>92</v>
      </c>
      <c r="C41" s="6">
        <v>1050500</v>
      </c>
      <c r="D41" s="6"/>
      <c r="E41" s="6"/>
      <c r="F41" s="6"/>
      <c r="G41" s="6">
        <f>28000+21000+25000+6000</f>
        <v>80000</v>
      </c>
      <c r="H41" s="6"/>
      <c r="I41" s="6"/>
      <c r="J41" s="5">
        <f t="shared" si="6"/>
        <v>1130500</v>
      </c>
    </row>
    <row r="42" spans="1:10" ht="55.2" x14ac:dyDescent="0.25">
      <c r="A42" s="15">
        <v>25</v>
      </c>
      <c r="B42" s="7" t="s">
        <v>93</v>
      </c>
      <c r="C42" s="6">
        <v>202200</v>
      </c>
      <c r="D42" s="6"/>
      <c r="E42" s="6"/>
      <c r="F42" s="6"/>
      <c r="G42" s="6">
        <v>2540</v>
      </c>
      <c r="H42" s="6"/>
      <c r="I42" s="6"/>
      <c r="J42" s="5">
        <f t="shared" si="6"/>
        <v>204740</v>
      </c>
    </row>
    <row r="43" spans="1:10" ht="55.2" x14ac:dyDescent="0.25">
      <c r="A43" s="15">
        <v>26</v>
      </c>
      <c r="B43" s="7" t="s">
        <v>94</v>
      </c>
      <c r="C43" s="6">
        <v>201300</v>
      </c>
      <c r="D43" s="6"/>
      <c r="E43" s="6"/>
      <c r="F43" s="6"/>
      <c r="G43" s="6">
        <f>200+400</f>
        <v>600</v>
      </c>
      <c r="H43" s="6"/>
      <c r="I43" s="6"/>
      <c r="J43" s="5">
        <f t="shared" si="6"/>
        <v>201900</v>
      </c>
    </row>
    <row r="44" spans="1:10" ht="69" x14ac:dyDescent="0.25">
      <c r="A44" s="15">
        <v>27</v>
      </c>
      <c r="B44" s="7" t="s">
        <v>95</v>
      </c>
      <c r="C44" s="6">
        <v>183300</v>
      </c>
      <c r="D44" s="6"/>
      <c r="E44" s="6"/>
      <c r="F44" s="6"/>
      <c r="G44" s="6">
        <f>9000-2000</f>
        <v>7000</v>
      </c>
      <c r="H44" s="6"/>
      <c r="I44" s="6"/>
      <c r="J44" s="5">
        <f t="shared" si="6"/>
        <v>190300</v>
      </c>
    </row>
    <row r="45" spans="1:10" ht="55.2" x14ac:dyDescent="0.25">
      <c r="A45" s="15">
        <v>28</v>
      </c>
      <c r="B45" s="7" t="s">
        <v>96</v>
      </c>
      <c r="C45" s="6">
        <v>118700</v>
      </c>
      <c r="D45" s="6"/>
      <c r="E45" s="6"/>
      <c r="F45" s="6"/>
      <c r="G45" s="6">
        <v>800</v>
      </c>
      <c r="H45" s="6"/>
      <c r="I45" s="6"/>
      <c r="J45" s="5">
        <f t="shared" si="6"/>
        <v>119500</v>
      </c>
    </row>
    <row r="46" spans="1:10" ht="69" x14ac:dyDescent="0.25">
      <c r="A46" s="15">
        <v>29</v>
      </c>
      <c r="B46" s="7" t="s">
        <v>97</v>
      </c>
      <c r="C46" s="6">
        <f>1112000+1400</f>
        <v>1113400</v>
      </c>
      <c r="D46" s="6"/>
      <c r="E46" s="6"/>
      <c r="F46" s="6">
        <v>32804</v>
      </c>
      <c r="G46" s="6">
        <f>5000+1000+6000+4000</f>
        <v>16000</v>
      </c>
      <c r="H46" s="6"/>
      <c r="I46" s="6"/>
      <c r="J46" s="5">
        <f t="shared" si="6"/>
        <v>1162204</v>
      </c>
    </row>
    <row r="47" spans="1:10" ht="69" x14ac:dyDescent="0.25">
      <c r="A47" s="15">
        <v>30</v>
      </c>
      <c r="B47" s="7" t="s">
        <v>24</v>
      </c>
      <c r="C47" s="6">
        <v>445900</v>
      </c>
      <c r="D47" s="6"/>
      <c r="E47" s="6"/>
      <c r="F47" s="6"/>
      <c r="G47" s="6">
        <f>18070+14000+8000</f>
        <v>40070</v>
      </c>
      <c r="H47" s="6"/>
      <c r="I47" s="6"/>
      <c r="J47" s="5">
        <f t="shared" si="6"/>
        <v>485970</v>
      </c>
    </row>
    <row r="48" spans="1:10" ht="41.4" x14ac:dyDescent="0.25">
      <c r="A48" s="15">
        <v>31</v>
      </c>
      <c r="B48" s="7" t="s">
        <v>98</v>
      </c>
      <c r="C48" s="6">
        <v>151000</v>
      </c>
      <c r="D48" s="6"/>
      <c r="E48" s="6"/>
      <c r="F48" s="6"/>
      <c r="G48" s="6"/>
      <c r="H48" s="6"/>
      <c r="I48" s="6"/>
      <c r="J48" s="5">
        <f t="shared" si="6"/>
        <v>151000</v>
      </c>
    </row>
    <row r="49" spans="1:10" ht="69" x14ac:dyDescent="0.25">
      <c r="A49" s="14">
        <v>32</v>
      </c>
      <c r="B49" s="18" t="s">
        <v>99</v>
      </c>
      <c r="C49" s="10">
        <f t="shared" ref="C49:I49" si="11">C50+C51</f>
        <v>866900</v>
      </c>
      <c r="D49" s="10">
        <f t="shared" si="11"/>
        <v>0</v>
      </c>
      <c r="E49" s="10">
        <f t="shared" si="11"/>
        <v>0</v>
      </c>
      <c r="F49" s="10">
        <f t="shared" si="11"/>
        <v>0</v>
      </c>
      <c r="G49" s="10">
        <f t="shared" si="11"/>
        <v>28390</v>
      </c>
      <c r="H49" s="10">
        <f t="shared" si="11"/>
        <v>0</v>
      </c>
      <c r="I49" s="10">
        <f t="shared" si="11"/>
        <v>0</v>
      </c>
      <c r="J49" s="10">
        <f t="shared" ref="J49:J60" si="12">SUM(C49:I49)</f>
        <v>895290</v>
      </c>
    </row>
    <row r="50" spans="1:10" ht="69" x14ac:dyDescent="0.25">
      <c r="A50" s="15">
        <v>33</v>
      </c>
      <c r="B50" s="7" t="s">
        <v>100</v>
      </c>
      <c r="C50" s="6">
        <v>691900</v>
      </c>
      <c r="D50" s="6"/>
      <c r="E50" s="6"/>
      <c r="F50" s="6"/>
      <c r="G50" s="6">
        <v>28390</v>
      </c>
      <c r="H50" s="6"/>
      <c r="I50" s="6"/>
      <c r="J50" s="5">
        <f>SUM(C50:I50)</f>
        <v>720290</v>
      </c>
    </row>
    <row r="51" spans="1:10" ht="55.2" x14ac:dyDescent="0.25">
      <c r="A51" s="15">
        <v>34</v>
      </c>
      <c r="B51" s="7" t="s">
        <v>63</v>
      </c>
      <c r="C51" s="6">
        <v>175000</v>
      </c>
      <c r="D51" s="6"/>
      <c r="E51" s="6"/>
      <c r="F51" s="6"/>
      <c r="G51" s="6"/>
      <c r="H51" s="6"/>
      <c r="I51" s="6"/>
      <c r="J51" s="5">
        <f>SUM(C51:I51)</f>
        <v>175000</v>
      </c>
    </row>
    <row r="52" spans="1:10" ht="55.2" x14ac:dyDescent="0.25">
      <c r="A52" s="14">
        <v>35</v>
      </c>
      <c r="B52" s="18" t="s">
        <v>101</v>
      </c>
      <c r="C52" s="10">
        <f>C53+C54</f>
        <v>107000</v>
      </c>
      <c r="D52" s="10">
        <f t="shared" ref="D52:I52" si="13">D53+D54</f>
        <v>927100</v>
      </c>
      <c r="E52" s="10">
        <f t="shared" si="13"/>
        <v>0</v>
      </c>
      <c r="F52" s="10">
        <f t="shared" si="13"/>
        <v>0</v>
      </c>
      <c r="G52" s="10">
        <f t="shared" si="13"/>
        <v>0</v>
      </c>
      <c r="H52" s="10">
        <f t="shared" si="13"/>
        <v>0</v>
      </c>
      <c r="I52" s="10">
        <f t="shared" si="13"/>
        <v>0</v>
      </c>
      <c r="J52" s="10">
        <f t="shared" si="12"/>
        <v>1034100</v>
      </c>
    </row>
    <row r="53" spans="1:10" ht="41.4" x14ac:dyDescent="0.25">
      <c r="A53" s="15">
        <v>36</v>
      </c>
      <c r="B53" s="7" t="s">
        <v>102</v>
      </c>
      <c r="C53" s="20">
        <f>37000+50000</f>
        <v>87000</v>
      </c>
      <c r="D53" s="6">
        <f>905000+22100</f>
        <v>927100</v>
      </c>
      <c r="E53" s="6"/>
      <c r="F53" s="6"/>
      <c r="G53" s="6"/>
      <c r="H53" s="6"/>
      <c r="I53" s="6"/>
      <c r="J53" s="5">
        <f t="shared" si="12"/>
        <v>1014100</v>
      </c>
    </row>
    <row r="54" spans="1:10" ht="41.4" x14ac:dyDescent="0.25">
      <c r="A54" s="15">
        <v>37</v>
      </c>
      <c r="B54" s="7" t="s">
        <v>103</v>
      </c>
      <c r="C54" s="6">
        <v>20000</v>
      </c>
      <c r="D54" s="6"/>
      <c r="E54" s="6"/>
      <c r="F54" s="6"/>
      <c r="G54" s="6"/>
      <c r="H54" s="6"/>
      <c r="I54" s="6"/>
      <c r="J54" s="5">
        <f t="shared" si="12"/>
        <v>20000</v>
      </c>
    </row>
    <row r="55" spans="1:10" ht="69" x14ac:dyDescent="0.25">
      <c r="A55" s="14">
        <v>38</v>
      </c>
      <c r="B55" s="18" t="s">
        <v>104</v>
      </c>
      <c r="C55" s="10">
        <f>C56</f>
        <v>236788</v>
      </c>
      <c r="D55" s="10">
        <f t="shared" ref="D55:I55" si="14">D56</f>
        <v>0</v>
      </c>
      <c r="E55" s="10">
        <f t="shared" si="14"/>
        <v>0</v>
      </c>
      <c r="F55" s="10">
        <f t="shared" si="14"/>
        <v>17848</v>
      </c>
      <c r="G55" s="10">
        <f t="shared" si="14"/>
        <v>0</v>
      </c>
      <c r="H55" s="10">
        <f t="shared" si="14"/>
        <v>634</v>
      </c>
      <c r="I55" s="10">
        <f t="shared" si="14"/>
        <v>0</v>
      </c>
      <c r="J55" s="10">
        <f t="shared" si="12"/>
        <v>255270</v>
      </c>
    </row>
    <row r="56" spans="1:10" x14ac:dyDescent="0.25">
      <c r="A56" s="15">
        <v>39</v>
      </c>
      <c r="B56" s="19" t="s">
        <v>19</v>
      </c>
      <c r="C56" s="6">
        <f t="shared" ref="C56:I56" si="15">C57+C58+C59</f>
        <v>236788</v>
      </c>
      <c r="D56" s="6">
        <f t="shared" si="15"/>
        <v>0</v>
      </c>
      <c r="E56" s="6">
        <f t="shared" si="15"/>
        <v>0</v>
      </c>
      <c r="F56" s="6">
        <f t="shared" si="15"/>
        <v>17848</v>
      </c>
      <c r="G56" s="6">
        <f t="shared" si="15"/>
        <v>0</v>
      </c>
      <c r="H56" s="6">
        <f t="shared" si="15"/>
        <v>634</v>
      </c>
      <c r="I56" s="6">
        <f t="shared" si="15"/>
        <v>0</v>
      </c>
      <c r="J56" s="5">
        <f t="shared" si="12"/>
        <v>255270</v>
      </c>
    </row>
    <row r="57" spans="1:10" ht="27.6" x14ac:dyDescent="0.25">
      <c r="A57" s="15" t="s">
        <v>27</v>
      </c>
      <c r="B57" s="7" t="s">
        <v>25</v>
      </c>
      <c r="C57" s="6">
        <v>139948</v>
      </c>
      <c r="D57" s="6"/>
      <c r="E57" s="6"/>
      <c r="F57" s="6">
        <v>17848</v>
      </c>
      <c r="G57" s="6"/>
      <c r="H57" s="6"/>
      <c r="I57" s="6"/>
      <c r="J57" s="5">
        <f t="shared" si="12"/>
        <v>157796</v>
      </c>
    </row>
    <row r="58" spans="1:10" ht="27.6" x14ac:dyDescent="0.25">
      <c r="A58" s="15" t="s">
        <v>28</v>
      </c>
      <c r="B58" s="7" t="s">
        <v>26</v>
      </c>
      <c r="C58" s="6">
        <v>42000</v>
      </c>
      <c r="D58" s="6"/>
      <c r="E58" s="6"/>
      <c r="F58" s="6"/>
      <c r="G58" s="6"/>
      <c r="H58" s="6"/>
      <c r="I58" s="6"/>
      <c r="J58" s="5">
        <f t="shared" si="12"/>
        <v>42000</v>
      </c>
    </row>
    <row r="59" spans="1:10" s="8" customFormat="1" ht="27.6" x14ac:dyDescent="0.25">
      <c r="A59" s="15" t="s">
        <v>29</v>
      </c>
      <c r="B59" s="7" t="s">
        <v>30</v>
      </c>
      <c r="C59" s="6">
        <f>49840+5000</f>
        <v>54840</v>
      </c>
      <c r="D59" s="6"/>
      <c r="E59" s="6"/>
      <c r="F59" s="6"/>
      <c r="G59" s="6"/>
      <c r="H59" s="6">
        <v>634</v>
      </c>
      <c r="I59" s="6"/>
      <c r="J59" s="5">
        <f t="shared" si="12"/>
        <v>55474</v>
      </c>
    </row>
    <row r="60" spans="1:10" ht="27.6" x14ac:dyDescent="0.25">
      <c r="A60" s="13">
        <v>40</v>
      </c>
      <c r="B60" s="17" t="s">
        <v>52</v>
      </c>
      <c r="C60" s="11">
        <f t="shared" ref="C60:I60" si="16">C61+C70</f>
        <v>6583133</v>
      </c>
      <c r="D60" s="11">
        <f t="shared" si="16"/>
        <v>259500</v>
      </c>
      <c r="E60" s="11">
        <f t="shared" si="16"/>
        <v>0</v>
      </c>
      <c r="F60" s="11">
        <f t="shared" si="16"/>
        <v>2114137</v>
      </c>
      <c r="G60" s="11">
        <f t="shared" si="16"/>
        <v>6340</v>
      </c>
      <c r="H60" s="11">
        <f t="shared" si="16"/>
        <v>778162</v>
      </c>
      <c r="I60" s="11">
        <f t="shared" si="16"/>
        <v>204459</v>
      </c>
      <c r="J60" s="11">
        <f t="shared" si="12"/>
        <v>9945731</v>
      </c>
    </row>
    <row r="61" spans="1:10" ht="41.4" x14ac:dyDescent="0.25">
      <c r="A61" s="14">
        <v>41</v>
      </c>
      <c r="B61" s="18" t="s">
        <v>105</v>
      </c>
      <c r="C61" s="10">
        <f>C62</f>
        <v>6435903</v>
      </c>
      <c r="D61" s="10">
        <f t="shared" ref="D61:I61" si="17">D62</f>
        <v>0</v>
      </c>
      <c r="E61" s="10">
        <f t="shared" si="17"/>
        <v>0</v>
      </c>
      <c r="F61" s="10">
        <f t="shared" si="17"/>
        <v>2114137</v>
      </c>
      <c r="G61" s="10">
        <f t="shared" si="17"/>
        <v>0</v>
      </c>
      <c r="H61" s="10">
        <f t="shared" si="17"/>
        <v>761696</v>
      </c>
      <c r="I61" s="10">
        <f t="shared" si="17"/>
        <v>200884</v>
      </c>
      <c r="J61" s="10">
        <f>SUM(C61:I61)</f>
        <v>9512620</v>
      </c>
    </row>
    <row r="62" spans="1:10" x14ac:dyDescent="0.25">
      <c r="A62" s="15">
        <v>42</v>
      </c>
      <c r="B62" s="19" t="s">
        <v>19</v>
      </c>
      <c r="C62" s="6">
        <f t="shared" ref="C62:J62" si="18">C63+C64+C65+C66+C67+C68+C69</f>
        <v>6435903</v>
      </c>
      <c r="D62" s="6">
        <f t="shared" si="18"/>
        <v>0</v>
      </c>
      <c r="E62" s="6">
        <f t="shared" si="18"/>
        <v>0</v>
      </c>
      <c r="F62" s="6">
        <f t="shared" si="18"/>
        <v>2114137</v>
      </c>
      <c r="G62" s="6">
        <f t="shared" si="18"/>
        <v>0</v>
      </c>
      <c r="H62" s="6">
        <f t="shared" si="18"/>
        <v>761696</v>
      </c>
      <c r="I62" s="6">
        <f t="shared" si="18"/>
        <v>200884</v>
      </c>
      <c r="J62" s="5">
        <f t="shared" si="18"/>
        <v>9512620</v>
      </c>
    </row>
    <row r="63" spans="1:10" ht="27.6" x14ac:dyDescent="0.25">
      <c r="A63" s="15" t="s">
        <v>33</v>
      </c>
      <c r="B63" s="7" t="s">
        <v>31</v>
      </c>
      <c r="C63" s="6">
        <f>290180+48000</f>
        <v>338180</v>
      </c>
      <c r="D63" s="6"/>
      <c r="E63" s="6"/>
      <c r="F63" s="6"/>
      <c r="G63" s="6"/>
      <c r="H63" s="6"/>
      <c r="I63" s="6"/>
      <c r="J63" s="5">
        <f>SUM(C63:I63)</f>
        <v>338180</v>
      </c>
    </row>
    <row r="64" spans="1:10" ht="27.6" x14ac:dyDescent="0.25">
      <c r="A64" s="15" t="s">
        <v>34</v>
      </c>
      <c r="B64" s="7" t="s">
        <v>32</v>
      </c>
      <c r="C64" s="6">
        <f>405460-65306+65306</f>
        <v>405460</v>
      </c>
      <c r="D64" s="6"/>
      <c r="E64" s="6"/>
      <c r="F64" s="6">
        <v>2091400</v>
      </c>
      <c r="G64" s="6"/>
      <c r="H64" s="6">
        <v>754726</v>
      </c>
      <c r="I64" s="6"/>
      <c r="J64" s="5">
        <f>SUM(C64:I64)</f>
        <v>3251586</v>
      </c>
    </row>
    <row r="65" spans="1:10" ht="27.6" x14ac:dyDescent="0.25">
      <c r="A65" s="15" t="s">
        <v>37</v>
      </c>
      <c r="B65" s="7" t="s">
        <v>61</v>
      </c>
      <c r="C65" s="6">
        <f>1783720+100000+30000</f>
        <v>1913720</v>
      </c>
      <c r="D65" s="6"/>
      <c r="E65" s="6"/>
      <c r="F65" s="6"/>
      <c r="G65" s="6"/>
      <c r="H65" s="6"/>
      <c r="I65" s="6"/>
      <c r="J65" s="5">
        <f>SUM(C65:I65)</f>
        <v>1913720</v>
      </c>
    </row>
    <row r="66" spans="1:10" ht="27.6" x14ac:dyDescent="0.25">
      <c r="A66" s="15" t="s">
        <v>36</v>
      </c>
      <c r="B66" s="7" t="s">
        <v>38</v>
      </c>
      <c r="C66" s="6">
        <f>1397781+7000</f>
        <v>1404781</v>
      </c>
      <c r="D66" s="6"/>
      <c r="E66" s="6"/>
      <c r="F66" s="6">
        <v>22737</v>
      </c>
      <c r="G66" s="6"/>
      <c r="H66" s="6"/>
      <c r="I66" s="6"/>
      <c r="J66" s="5">
        <f t="shared" ref="J66:J69" si="19">SUM(C66:I66)</f>
        <v>1427518</v>
      </c>
    </row>
    <row r="67" spans="1:10" ht="41.4" x14ac:dyDescent="0.25">
      <c r="A67" s="15" t="s">
        <v>35</v>
      </c>
      <c r="B67" s="7" t="s">
        <v>39</v>
      </c>
      <c r="C67" s="6">
        <f>179000-3400</f>
        <v>175600</v>
      </c>
      <c r="D67" s="6"/>
      <c r="E67" s="6"/>
      <c r="F67" s="6"/>
      <c r="G67" s="6"/>
      <c r="H67" s="6"/>
      <c r="I67" s="6">
        <v>45000</v>
      </c>
      <c r="J67" s="5">
        <f t="shared" si="19"/>
        <v>220600</v>
      </c>
    </row>
    <row r="68" spans="1:10" ht="27.6" x14ac:dyDescent="0.25">
      <c r="A68" s="15" t="s">
        <v>40</v>
      </c>
      <c r="B68" s="7" t="s">
        <v>42</v>
      </c>
      <c r="C68" s="6">
        <f>1549842+10000+70000-30000</f>
        <v>1599842</v>
      </c>
      <c r="D68" s="6"/>
      <c r="E68" s="6"/>
      <c r="F68" s="6"/>
      <c r="G68" s="6"/>
      <c r="H68" s="6">
        <f>6381+589</f>
        <v>6970</v>
      </c>
      <c r="I68" s="6">
        <v>83823</v>
      </c>
      <c r="J68" s="5">
        <f t="shared" si="19"/>
        <v>1690635</v>
      </c>
    </row>
    <row r="69" spans="1:10" ht="34.5" customHeight="1" x14ac:dyDescent="0.25">
      <c r="A69" s="15" t="s">
        <v>41</v>
      </c>
      <c r="B69" s="7" t="s">
        <v>53</v>
      </c>
      <c r="C69" s="6">
        <f>522520-14200+90000</f>
        <v>598320</v>
      </c>
      <c r="D69" s="6"/>
      <c r="E69" s="6"/>
      <c r="F69" s="6"/>
      <c r="G69" s="6"/>
      <c r="H69" s="6"/>
      <c r="I69" s="6">
        <v>72061</v>
      </c>
      <c r="J69" s="5">
        <f t="shared" si="19"/>
        <v>670381</v>
      </c>
    </row>
    <row r="70" spans="1:10" ht="55.2" x14ac:dyDescent="0.25">
      <c r="A70" s="14">
        <v>43</v>
      </c>
      <c r="B70" s="18" t="s">
        <v>106</v>
      </c>
      <c r="C70" s="10">
        <f>C71</f>
        <v>147230</v>
      </c>
      <c r="D70" s="10">
        <f t="shared" ref="D70:I70" si="20">D71</f>
        <v>259500</v>
      </c>
      <c r="E70" s="10">
        <f t="shared" si="20"/>
        <v>0</v>
      </c>
      <c r="F70" s="10">
        <f t="shared" si="20"/>
        <v>0</v>
      </c>
      <c r="G70" s="10">
        <f t="shared" si="20"/>
        <v>6340</v>
      </c>
      <c r="H70" s="10">
        <f t="shared" si="20"/>
        <v>16466</v>
      </c>
      <c r="I70" s="10">
        <f t="shared" si="20"/>
        <v>3575</v>
      </c>
      <c r="J70" s="10">
        <f t="shared" ref="J70" si="21">SUM(C70:I70)</f>
        <v>433111</v>
      </c>
    </row>
    <row r="71" spans="1:10" x14ac:dyDescent="0.25">
      <c r="A71" s="15">
        <v>44</v>
      </c>
      <c r="B71" s="19" t="s">
        <v>19</v>
      </c>
      <c r="C71" s="6">
        <f t="shared" ref="C71:I71" si="22">C72+C73+C74</f>
        <v>147230</v>
      </c>
      <c r="D71" s="6">
        <f t="shared" si="22"/>
        <v>259500</v>
      </c>
      <c r="E71" s="6">
        <f t="shared" si="22"/>
        <v>0</v>
      </c>
      <c r="F71" s="6">
        <f t="shared" si="22"/>
        <v>0</v>
      </c>
      <c r="G71" s="6">
        <f t="shared" si="22"/>
        <v>6340</v>
      </c>
      <c r="H71" s="6">
        <f t="shared" si="22"/>
        <v>16466</v>
      </c>
      <c r="I71" s="6">
        <f t="shared" si="22"/>
        <v>3575</v>
      </c>
      <c r="J71" s="5">
        <f>SUM(C71:I71)</f>
        <v>433111</v>
      </c>
    </row>
    <row r="72" spans="1:10" ht="27.6" x14ac:dyDescent="0.25">
      <c r="A72" s="15" t="s">
        <v>47</v>
      </c>
      <c r="B72" s="7" t="s">
        <v>43</v>
      </c>
      <c r="C72" s="6"/>
      <c r="D72" s="6">
        <v>259500</v>
      </c>
      <c r="E72" s="6"/>
      <c r="F72" s="6"/>
      <c r="G72" s="6"/>
      <c r="H72" s="6"/>
      <c r="I72" s="6">
        <v>3575</v>
      </c>
      <c r="J72" s="5">
        <f t="shared" ref="J72:J74" si="23">SUM(C72:I72)</f>
        <v>263075</v>
      </c>
    </row>
    <row r="73" spans="1:10" x14ac:dyDescent="0.25">
      <c r="A73" s="15" t="s">
        <v>48</v>
      </c>
      <c r="B73" s="7" t="s">
        <v>54</v>
      </c>
      <c r="C73" s="6">
        <v>30000</v>
      </c>
      <c r="D73" s="6"/>
      <c r="E73" s="6"/>
      <c r="F73" s="6"/>
      <c r="G73" s="6"/>
      <c r="H73" s="6"/>
      <c r="I73" s="6"/>
      <c r="J73" s="5">
        <f t="shared" si="23"/>
        <v>30000</v>
      </c>
    </row>
    <row r="74" spans="1:10" x14ac:dyDescent="0.25">
      <c r="A74" s="15" t="s">
        <v>55</v>
      </c>
      <c r="B74" s="7" t="s">
        <v>62</v>
      </c>
      <c r="C74" s="6">
        <f>104000+13230</f>
        <v>117230</v>
      </c>
      <c r="D74" s="6"/>
      <c r="E74" s="6"/>
      <c r="F74" s="6"/>
      <c r="G74" s="6">
        <v>6340</v>
      </c>
      <c r="H74" s="6">
        <f>8158+8308</f>
        <v>16466</v>
      </c>
      <c r="I74" s="6"/>
      <c r="J74" s="5">
        <f t="shared" si="23"/>
        <v>140036</v>
      </c>
    </row>
    <row r="75" spans="1:10" ht="69" x14ac:dyDescent="0.25">
      <c r="A75" s="13">
        <v>45</v>
      </c>
      <c r="B75" s="17" t="s">
        <v>107</v>
      </c>
      <c r="C75" s="11">
        <f>C76</f>
        <v>7134092</v>
      </c>
      <c r="D75" s="11">
        <f t="shared" ref="D75:I75" si="24">D76</f>
        <v>510143</v>
      </c>
      <c r="E75" s="11">
        <f t="shared" si="24"/>
        <v>0</v>
      </c>
      <c r="F75" s="11">
        <f t="shared" si="24"/>
        <v>41408</v>
      </c>
      <c r="G75" s="11">
        <f t="shared" si="24"/>
        <v>170470</v>
      </c>
      <c r="H75" s="11">
        <f t="shared" si="24"/>
        <v>0</v>
      </c>
      <c r="I75" s="11">
        <f t="shared" si="24"/>
        <v>309212</v>
      </c>
      <c r="J75" s="11">
        <f>SUM(C75:I75)</f>
        <v>8165325</v>
      </c>
    </row>
    <row r="76" spans="1:10" ht="27.6" x14ac:dyDescent="0.25">
      <c r="A76" s="14">
        <v>46</v>
      </c>
      <c r="B76" s="18" t="s">
        <v>44</v>
      </c>
      <c r="C76" s="10">
        <f t="shared" ref="C76:I76" si="25">C77+C80+C81+C82</f>
        <v>7134092</v>
      </c>
      <c r="D76" s="10">
        <f t="shared" si="25"/>
        <v>510143</v>
      </c>
      <c r="E76" s="10">
        <f t="shared" si="25"/>
        <v>0</v>
      </c>
      <c r="F76" s="10">
        <f t="shared" si="25"/>
        <v>41408</v>
      </c>
      <c r="G76" s="10">
        <f t="shared" si="25"/>
        <v>170470</v>
      </c>
      <c r="H76" s="10">
        <f t="shared" si="25"/>
        <v>0</v>
      </c>
      <c r="I76" s="10">
        <f t="shared" si="25"/>
        <v>309212</v>
      </c>
      <c r="J76" s="10">
        <f>SUM(C76:I76)</f>
        <v>8165325</v>
      </c>
    </row>
    <row r="77" spans="1:10" x14ac:dyDescent="0.25">
      <c r="A77" s="15">
        <v>47</v>
      </c>
      <c r="B77" s="19" t="s">
        <v>19</v>
      </c>
      <c r="C77" s="6">
        <f>C78+C79</f>
        <v>6160227</v>
      </c>
      <c r="D77" s="6">
        <f>D78+D79</f>
        <v>510143</v>
      </c>
      <c r="E77" s="6">
        <f>E78+E79</f>
        <v>0</v>
      </c>
      <c r="F77" s="6">
        <f t="shared" ref="F77:I77" si="26">F78+F79</f>
        <v>41408</v>
      </c>
      <c r="G77" s="6">
        <f t="shared" si="26"/>
        <v>170470</v>
      </c>
      <c r="H77" s="6">
        <f t="shared" si="26"/>
        <v>0</v>
      </c>
      <c r="I77" s="6">
        <f t="shared" si="26"/>
        <v>0</v>
      </c>
      <c r="J77" s="5">
        <f>SUM(C77:I77)</f>
        <v>6882248</v>
      </c>
    </row>
    <row r="78" spans="1:10" ht="27.75" customHeight="1" x14ac:dyDescent="0.25">
      <c r="A78" s="15" t="s">
        <v>56</v>
      </c>
      <c r="B78" s="7" t="s">
        <v>45</v>
      </c>
      <c r="C78" s="6">
        <v>515000</v>
      </c>
      <c r="D78" s="6"/>
      <c r="E78" s="6"/>
      <c r="F78" s="6"/>
      <c r="G78" s="6"/>
      <c r="H78" s="6"/>
      <c r="I78" s="6"/>
      <c r="J78" s="5">
        <f>SUM(C78:I78)</f>
        <v>515000</v>
      </c>
    </row>
    <row r="79" spans="1:10" ht="55.2" x14ac:dyDescent="0.25">
      <c r="A79" s="15" t="s">
        <v>57</v>
      </c>
      <c r="B79" s="7" t="s">
        <v>46</v>
      </c>
      <c r="C79" s="6">
        <f>5674484+7649-1600-65306+30000</f>
        <v>5645227</v>
      </c>
      <c r="D79" s="6">
        <f>478322+16800+5000+4900+2135-120+696+10-2267-33+4700</f>
        <v>510143</v>
      </c>
      <c r="E79" s="6"/>
      <c r="F79" s="20">
        <f>41573-64-1-99-1</f>
        <v>41408</v>
      </c>
      <c r="G79" s="6">
        <v>170470</v>
      </c>
      <c r="H79" s="6"/>
      <c r="I79" s="6"/>
      <c r="J79" s="5">
        <f>SUM(C79:I79)</f>
        <v>6367248</v>
      </c>
    </row>
    <row r="80" spans="1:10" ht="55.2" x14ac:dyDescent="0.25">
      <c r="A80" s="15">
        <v>48</v>
      </c>
      <c r="B80" s="7" t="s">
        <v>108</v>
      </c>
      <c r="C80" s="6">
        <v>80600</v>
      </c>
      <c r="D80" s="6"/>
      <c r="E80" s="6"/>
      <c r="F80" s="6"/>
      <c r="G80" s="6"/>
      <c r="H80" s="6"/>
      <c r="I80" s="6"/>
      <c r="J80" s="5">
        <f t="shared" ref="J80:J87" si="27">SUM(C80:I80)</f>
        <v>80600</v>
      </c>
    </row>
    <row r="81" spans="1:10" ht="41.4" x14ac:dyDescent="0.25">
      <c r="A81" s="15">
        <v>49</v>
      </c>
      <c r="B81" s="7" t="s">
        <v>109</v>
      </c>
      <c r="C81" s="6">
        <v>150000</v>
      </c>
      <c r="D81" s="6"/>
      <c r="E81" s="6"/>
      <c r="F81" s="6"/>
      <c r="G81" s="6"/>
      <c r="H81" s="6"/>
      <c r="I81" s="6"/>
      <c r="J81" s="5">
        <f>SUM(C81:I81)</f>
        <v>150000</v>
      </c>
    </row>
    <row r="82" spans="1:10" x14ac:dyDescent="0.25">
      <c r="A82" s="15">
        <v>50</v>
      </c>
      <c r="B82" s="19" t="s">
        <v>19</v>
      </c>
      <c r="C82" s="6">
        <f>C83+C84</f>
        <v>743265</v>
      </c>
      <c r="D82" s="6">
        <f>D83+D84</f>
        <v>0</v>
      </c>
      <c r="E82" s="6">
        <f t="shared" ref="E82:I82" si="28">E83+E84</f>
        <v>0</v>
      </c>
      <c r="F82" s="6">
        <f t="shared" si="28"/>
        <v>0</v>
      </c>
      <c r="G82" s="6">
        <f t="shared" si="28"/>
        <v>0</v>
      </c>
      <c r="H82" s="6">
        <f t="shared" si="28"/>
        <v>0</v>
      </c>
      <c r="I82" s="6">
        <f t="shared" si="28"/>
        <v>309212</v>
      </c>
      <c r="J82" s="5">
        <f>SUM(C82:I82)</f>
        <v>1052477</v>
      </c>
    </row>
    <row r="83" spans="1:10" ht="27.6" x14ac:dyDescent="0.25">
      <c r="A83" s="15" t="s">
        <v>58</v>
      </c>
      <c r="B83" s="7" t="s">
        <v>49</v>
      </c>
      <c r="C83" s="6">
        <f>87000+1000</f>
        <v>88000</v>
      </c>
      <c r="D83" s="6"/>
      <c r="E83" s="6"/>
      <c r="F83" s="6"/>
      <c r="G83" s="6"/>
      <c r="H83" s="6"/>
      <c r="I83" s="6"/>
      <c r="J83" s="5">
        <f t="shared" si="27"/>
        <v>88000</v>
      </c>
    </row>
    <row r="84" spans="1:10" x14ac:dyDescent="0.25">
      <c r="A84" s="15" t="s">
        <v>59</v>
      </c>
      <c r="B84" s="7" t="s">
        <v>50</v>
      </c>
      <c r="C84" s="20">
        <f>705265-50000</f>
        <v>655265</v>
      </c>
      <c r="D84" s="6"/>
      <c r="E84" s="6"/>
      <c r="F84" s="6"/>
      <c r="G84" s="6"/>
      <c r="H84" s="6"/>
      <c r="I84" s="6">
        <v>309212</v>
      </c>
      <c r="J84" s="5">
        <f t="shared" si="27"/>
        <v>964477</v>
      </c>
    </row>
    <row r="85" spans="1:10" x14ac:dyDescent="0.25">
      <c r="A85" s="13">
        <v>51</v>
      </c>
      <c r="B85" s="17" t="s">
        <v>10</v>
      </c>
      <c r="C85" s="11">
        <f t="shared" ref="C85:I85" si="29">C13+C60+C75</f>
        <v>34883605</v>
      </c>
      <c r="D85" s="11">
        <f t="shared" si="29"/>
        <v>4443027</v>
      </c>
      <c r="E85" s="11">
        <f t="shared" si="29"/>
        <v>11655200</v>
      </c>
      <c r="F85" s="11">
        <f t="shared" si="29"/>
        <v>3852245</v>
      </c>
      <c r="G85" s="11">
        <f t="shared" si="29"/>
        <v>1427018</v>
      </c>
      <c r="H85" s="11">
        <f t="shared" si="29"/>
        <v>2059921</v>
      </c>
      <c r="I85" s="11">
        <f t="shared" si="29"/>
        <v>513671</v>
      </c>
      <c r="J85" s="11">
        <f t="shared" si="27"/>
        <v>58834687</v>
      </c>
    </row>
    <row r="86" spans="1:10" ht="66.75" customHeight="1" x14ac:dyDescent="0.25">
      <c r="A86" s="15">
        <v>52</v>
      </c>
      <c r="B86" s="7" t="s">
        <v>51</v>
      </c>
      <c r="C86" s="6">
        <v>958680</v>
      </c>
      <c r="D86" s="6"/>
      <c r="E86" s="6"/>
      <c r="F86" s="6"/>
      <c r="G86" s="6"/>
      <c r="H86" s="6"/>
      <c r="I86" s="6"/>
      <c r="J86" s="6">
        <f t="shared" si="27"/>
        <v>958680</v>
      </c>
    </row>
    <row r="87" spans="1:10" x14ac:dyDescent="0.25">
      <c r="A87" s="13">
        <v>53</v>
      </c>
      <c r="B87" s="17" t="s">
        <v>11</v>
      </c>
      <c r="C87" s="11">
        <f>C85+C86</f>
        <v>35842285</v>
      </c>
      <c r="D87" s="11">
        <f t="shared" ref="D87:I87" si="30">D85+D86</f>
        <v>4443027</v>
      </c>
      <c r="E87" s="11">
        <f t="shared" si="30"/>
        <v>11655200</v>
      </c>
      <c r="F87" s="11">
        <f t="shared" si="30"/>
        <v>3852245</v>
      </c>
      <c r="G87" s="11">
        <f t="shared" si="30"/>
        <v>1427018</v>
      </c>
      <c r="H87" s="11">
        <f t="shared" si="30"/>
        <v>2059921</v>
      </c>
      <c r="I87" s="11">
        <f t="shared" si="30"/>
        <v>513671</v>
      </c>
      <c r="J87" s="11">
        <f t="shared" si="27"/>
        <v>59793367</v>
      </c>
    </row>
    <row r="88" spans="1:10" x14ac:dyDescent="0.25">
      <c r="D88" s="9"/>
      <c r="E88" s="9"/>
      <c r="F88" s="9"/>
      <c r="G88" s="9"/>
    </row>
  </sheetData>
  <mergeCells count="10">
    <mergeCell ref="J10:J11"/>
    <mergeCell ref="A8:J8"/>
    <mergeCell ref="A10:A11"/>
    <mergeCell ref="B10:B11"/>
    <mergeCell ref="C10:C11"/>
    <mergeCell ref="D10:E10"/>
    <mergeCell ref="F10:F11"/>
    <mergeCell ref="G10:G11"/>
    <mergeCell ref="H10:H11"/>
    <mergeCell ref="I10:I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2025-12-18 3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2025-12-04T12:02:30Z</cp:lastPrinted>
  <dcterms:created xsi:type="dcterms:W3CDTF">2025-02-04T06:34:54Z</dcterms:created>
  <dcterms:modified xsi:type="dcterms:W3CDTF">2025-12-04T17:00:05Z</dcterms:modified>
</cp:coreProperties>
</file>